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4\ตารางวิกฤติทางการเงิน 2564\"/>
    </mc:Choice>
  </mc:AlternateContent>
  <xr:revisionPtr revIDLastSave="0" documentId="13_ncr:1_{FAB5C601-4270-4619-9DC3-90B60FFF7210}" xr6:coauthVersionLast="47" xr6:coauthVersionMax="47" xr10:uidLastSave="{00000000-0000-0000-0000-000000000000}"/>
  <bookViews>
    <workbookView xWindow="-120" yWindow="-120" windowWidth="29040" windowHeight="15840" firstSheet="2" activeTab="10" xr2:uid="{00000000-000D-0000-FFFF-FFFF00000000}"/>
  </bookViews>
  <sheets>
    <sheet name="ต.ค.63" sheetId="20" r:id="rId1"/>
    <sheet name="พ.ย.63" sheetId="22" r:id="rId2"/>
    <sheet name="ธ.ค.63" sheetId="23" r:id="rId3"/>
    <sheet name="ม.ค.64" sheetId="24" r:id="rId4"/>
    <sheet name="ก.พ.64" sheetId="25" r:id="rId5"/>
    <sheet name="มี.ค.64" sheetId="26" r:id="rId6"/>
    <sheet name="เม.ย.64" sheetId="27" r:id="rId7"/>
    <sheet name="พ.ค.64" sheetId="28" r:id="rId8"/>
    <sheet name="มิ.ย.64" sheetId="29" r:id="rId9"/>
    <sheet name="ก.ค.64" sheetId="30" r:id="rId10"/>
    <sheet name="ส.ค.64" sheetId="31" r:id="rId11"/>
    <sheet name="ก.ย.64 " sheetId="3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32" l="1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K6" i="32"/>
  <c r="K7" i="32"/>
  <c r="L7" i="32" s="1"/>
  <c r="K8" i="32"/>
  <c r="K9" i="32"/>
  <c r="K10" i="32"/>
  <c r="L10" i="32" s="1"/>
  <c r="K11" i="32"/>
  <c r="L11" i="32" s="1"/>
  <c r="K12" i="32"/>
  <c r="K13" i="32"/>
  <c r="K14" i="32"/>
  <c r="K15" i="32"/>
  <c r="K16" i="32"/>
  <c r="L16" i="32" s="1"/>
  <c r="K17" i="32"/>
  <c r="K18" i="32"/>
  <c r="L18" i="32" s="1"/>
  <c r="K19" i="32"/>
  <c r="L19" i="32" s="1"/>
  <c r="K20" i="32"/>
  <c r="K5" i="32"/>
  <c r="L5" i="32" s="1"/>
  <c r="M21" i="32"/>
  <c r="L20" i="32"/>
  <c r="J20" i="32"/>
  <c r="G20" i="32"/>
  <c r="N20" i="32" s="1"/>
  <c r="J19" i="32"/>
  <c r="G19" i="32"/>
  <c r="N18" i="32"/>
  <c r="J18" i="32"/>
  <c r="G18" i="32"/>
  <c r="L17" i="32"/>
  <c r="J17" i="32"/>
  <c r="N17" i="32" s="1"/>
  <c r="G17" i="32"/>
  <c r="J16" i="32"/>
  <c r="G16" i="32"/>
  <c r="N16" i="32" s="1"/>
  <c r="L15" i="32"/>
  <c r="J15" i="32"/>
  <c r="G15" i="32"/>
  <c r="N15" i="32" s="1"/>
  <c r="L14" i="32"/>
  <c r="J14" i="32"/>
  <c r="G14" i="32"/>
  <c r="N14" i="32" s="1"/>
  <c r="N13" i="32"/>
  <c r="L13" i="32"/>
  <c r="J13" i="32"/>
  <c r="G13" i="32"/>
  <c r="L12" i="32"/>
  <c r="J12" i="32"/>
  <c r="G12" i="32"/>
  <c r="N12" i="32" s="1"/>
  <c r="J11" i="32"/>
  <c r="G11" i="32"/>
  <c r="N11" i="32" s="1"/>
  <c r="N10" i="32"/>
  <c r="J10" i="32"/>
  <c r="G10" i="32"/>
  <c r="L9" i="32"/>
  <c r="J9" i="32"/>
  <c r="N9" i="32" s="1"/>
  <c r="G9" i="32"/>
  <c r="L8" i="32"/>
  <c r="J8" i="32"/>
  <c r="G8" i="32"/>
  <c r="N8" i="32" s="1"/>
  <c r="J7" i="32"/>
  <c r="G7" i="32"/>
  <c r="N7" i="32" s="1"/>
  <c r="L6" i="32"/>
  <c r="J6" i="32"/>
  <c r="G6" i="32"/>
  <c r="N6" i="32" s="1"/>
  <c r="N5" i="32"/>
  <c r="J5" i="32"/>
  <c r="G5" i="32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K20" i="31"/>
  <c r="L20" i="31" s="1"/>
  <c r="K19" i="31"/>
  <c r="L19" i="31" s="1"/>
  <c r="K18" i="31"/>
  <c r="K17" i="31"/>
  <c r="L17" i="31" s="1"/>
  <c r="K16" i="31"/>
  <c r="L16" i="31" s="1"/>
  <c r="K15" i="31"/>
  <c r="L15" i="31" s="1"/>
  <c r="K14" i="31"/>
  <c r="L14" i="31" s="1"/>
  <c r="K13" i="31"/>
  <c r="K12" i="31"/>
  <c r="L12" i="31" s="1"/>
  <c r="K11" i="3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L18" i="31"/>
  <c r="J18" i="31"/>
  <c r="G18" i="31"/>
  <c r="J17" i="31"/>
  <c r="G17" i="31"/>
  <c r="J16" i="31"/>
  <c r="G16" i="31"/>
  <c r="N16" i="31" s="1"/>
  <c r="J15" i="31"/>
  <c r="G15" i="31"/>
  <c r="J14" i="31"/>
  <c r="G14" i="31"/>
  <c r="L13" i="31"/>
  <c r="J13" i="31"/>
  <c r="G13" i="31"/>
  <c r="J12" i="31"/>
  <c r="G12" i="31"/>
  <c r="L11" i="31"/>
  <c r="J11" i="31"/>
  <c r="G11" i="31"/>
  <c r="J10" i="31"/>
  <c r="G10" i="31"/>
  <c r="J9" i="31"/>
  <c r="G9" i="31"/>
  <c r="J8" i="31"/>
  <c r="G8" i="31"/>
  <c r="J7" i="31"/>
  <c r="G7" i="31"/>
  <c r="J6" i="31"/>
  <c r="G6" i="31"/>
  <c r="J5" i="31"/>
  <c r="G5" i="31"/>
  <c r="N20" i="31" l="1"/>
  <c r="N19" i="31"/>
  <c r="N18" i="31"/>
  <c r="N17" i="31"/>
  <c r="N15" i="31"/>
  <c r="N14" i="31"/>
  <c r="N13" i="31"/>
  <c r="N12" i="31"/>
  <c r="N11" i="31"/>
  <c r="N10" i="31"/>
  <c r="N9" i="31"/>
  <c r="N8" i="31"/>
  <c r="N7" i="31"/>
  <c r="N6" i="31"/>
  <c r="N5" i="3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O17" i="28" s="1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N15" i="26" s="1"/>
  <c r="O15" i="27" s="1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G7" i="24"/>
  <c r="L6" i="24"/>
  <c r="J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9" i="30" l="1"/>
  <c r="O9" i="31"/>
  <c r="O9" i="32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8" i="24"/>
  <c r="O8" i="25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20" i="32" l="1"/>
  <c r="O20" i="31"/>
  <c r="O19" i="31"/>
  <c r="O19" i="32"/>
  <c r="O18" i="32"/>
  <c r="O18" i="31"/>
  <c r="O17" i="31"/>
  <c r="O17" i="32"/>
  <c r="O16" i="32"/>
  <c r="O16" i="31"/>
  <c r="O15" i="32"/>
  <c r="O15" i="31"/>
  <c r="O14" i="32"/>
  <c r="O14" i="31"/>
  <c r="O13" i="32"/>
  <c r="O13" i="31"/>
  <c r="O12" i="32"/>
  <c r="O12" i="31"/>
  <c r="O11" i="32"/>
  <c r="O11" i="31"/>
  <c r="O10" i="32"/>
  <c r="O10" i="31"/>
  <c r="O8" i="32"/>
  <c r="O8" i="31"/>
  <c r="O7" i="32"/>
  <c r="O7" i="31"/>
  <c r="O6" i="32"/>
  <c r="O6" i="31"/>
  <c r="O5" i="32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K6" i="22"/>
  <c r="L6" i="22" s="1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<sst xmlns="http://schemas.openxmlformats.org/spreadsheetml/2006/main" count="804" uniqueCount="93">
  <si>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</si>
  <si>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</si>
  <si>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</si>
  <si>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</si>
  <si>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</si>
  <si>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</si>
  <si>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</si>
  <si>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</si>
  <si>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</si>
  <si>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</si>
  <si>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</si>
  <si>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</si>
  <si>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</si>
  <si>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</si>
  <si>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</si>
  <si>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</si>
  <si>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</si>
  <si>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</si>
  <si>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</si>
  <si>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</si>
  <si>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</si>
  <si>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</si>
  <si>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</si>
  <si>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</si>
  <si>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</si>
  <si>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</si>
  <si>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</si>
  <si>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</si>
  <si>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</si>
  <si>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</si>
  <si>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</si>
  <si>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</si>
  <si>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</si>
  <si>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</si>
  <si>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</si>
  <si>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</si>
  <si>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</si>
  <si>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</si>
  <si>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</si>
  <si>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</si>
  <si>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</si>
  <si>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</si>
  <si>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</si>
  <si>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</si>
  <si>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</si>
  <si>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</si>
  <si>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</si>
  <si>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</si>
  <si>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</si>
  <si>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</si>
  <si>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</si>
  <si>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</si>
  <si>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</si>
  <si>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</si>
  <si>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</si>
  <si>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</si>
  <si>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</si>
  <si>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Risk Scoring เดือน ก.ย.63</t>
  </si>
  <si>
    <t>Risk Scoring ต.ค.63</t>
  </si>
  <si>
    <t>ผลการประเมินภาวะวิกฤติ เดือน ตุลาคม  ปีงบประมาณ 2563</t>
  </si>
  <si>
    <t>ผลการประเมินภาวะวิกฤติ เดือน พฤศจิกายน ปีงบประมาณ 2563</t>
  </si>
  <si>
    <t>Risk Scoring เดือน ต.ค.63</t>
  </si>
  <si>
    <t>Risk Scoring พ.ย.63</t>
  </si>
  <si>
    <t>ผลการประเมินภาวะวิกฤติ เดือน ธันวาคม ปีงบประมาณ 2563</t>
  </si>
  <si>
    <t>Risk Scoring ธ.ค.63</t>
  </si>
  <si>
    <t>Risk Scoring เดือน พ.ย.63</t>
  </si>
  <si>
    <t>ผลการประเมินภาวะวิกฤติ เดือน มกราคม ปีงบประมาณ 2564</t>
  </si>
  <si>
    <t>Risk Scoring ม.ค.64</t>
  </si>
  <si>
    <t>Risk Scoring เดือน ธ.ค.63</t>
  </si>
  <si>
    <t>ผลการประเมินภาวะวิกฤติ เดือน กุมภาพันธ์ ปีงบประมาณ 2564</t>
  </si>
  <si>
    <t>Risk Scoring ก.พ.64</t>
  </si>
  <si>
    <t>Risk Scoring เดือน ม.ค.64</t>
  </si>
  <si>
    <t>ผลการประเมินภาวะวิกฤติ เดือน มีนาคม ปีงบประมาณ 2564</t>
  </si>
  <si>
    <t>Risk Scoring มี.ค.64</t>
  </si>
  <si>
    <t>Risk Scoring เดือน ก.พ.64</t>
  </si>
  <si>
    <t>ผลการประเมินภาวะวิกฤติ เดือน เมษายน ปีงบประมาณ 2564</t>
  </si>
  <si>
    <t>Risk Scoring เม.ย.64</t>
  </si>
  <si>
    <t>Risk Scoring เดือน มี.ค.64</t>
  </si>
  <si>
    <t>ผลการประเมินภาวะวิกฤติ เดือน พฤษภาคม ปีงบประมาณ 2564</t>
  </si>
  <si>
    <t>Risk Scoring พ.ค.64</t>
  </si>
  <si>
    <t>Risk Scoring เดือน เม.ย.64</t>
  </si>
  <si>
    <t>ผลการประเมินภาวะวิกฤติ เดือน มิถุนายน ปีงบประมาณ 2564</t>
  </si>
  <si>
    <t>Risk Scoring มิ.ย.64</t>
  </si>
  <si>
    <t>Risk Scoring เดือน พ.ค.64</t>
  </si>
  <si>
    <t>ผลการประเมินภาวะวิกฤติ เดือน กรกฏาคม ปีงบประมาณ 2564</t>
  </si>
  <si>
    <t>Risk Scoring ก.ค.64</t>
  </si>
  <si>
    <t>Risk Scoring เดือน มิ.ย.64</t>
  </si>
  <si>
    <t>ผลการประเมินภาวะวิกฤติ เดือน สิงหาคม ปีงบประมาณ 2564</t>
  </si>
  <si>
    <t>Risk Scoring ส.ค.64</t>
  </si>
  <si>
    <t>Risk Scoring เดือน ก.ค.64</t>
  </si>
  <si>
    <t>ผลการประเมินภาวะวิกฤติ เดือน กันยายน ปีงบประมาณ 2564</t>
  </si>
  <si>
    <t>Risk Scoring ก.ย.64</t>
  </si>
  <si>
    <t>Risk Scoring เดือน ส.ค.64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</si>
</sst>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</numFmts>
  <fonts count="3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0000FF"/>
      <name val="TH SarabunPSK"/>
      <family val="2"/>
    </font>
    <font>
      <b/>
      <sz val="20"/>
      <color rgb="FFF5273B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 style="medium">
        <color theme="8"/>
      </right>
      <top style="medium">
        <color theme="8"/>
      </top>
      <bottom/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8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0" fontId="12" fillId="0" borderId="0" xfId="0" applyFont="1"/>
    <xf numFmtId="2" fontId="12" fillId="0" borderId="0" xfId="0" applyNumberFormat="1" applyFont="1"/>
    <xf numFmtId="17" fontId="12" fillId="0" borderId="0" xfId="0" applyNumberFormat="1" applyFont="1" applyBorder="1" applyAlignment="1">
      <alignment horizontal="center"/>
    </xf>
    <xf numFmtId="43" fontId="12" fillId="0" borderId="0" xfId="1" applyFont="1" applyFill="1" applyBorder="1"/>
    <xf numFmtId="43" fontId="12" fillId="0" borderId="0" xfId="1" applyFont="1"/>
    <xf numFmtId="43" fontId="16" fillId="0" borderId="0" xfId="1" applyFont="1" applyFill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3" fontId="17" fillId="0" borderId="1" xfId="1" applyFont="1" applyFill="1" applyBorder="1" applyAlignment="1"/>
    <xf numFmtId="43" fontId="17" fillId="0" borderId="1" xfId="1" applyFont="1" applyBorder="1" applyAlignment="1"/>
    <xf numFmtId="0" fontId="12" fillId="0" borderId="0" xfId="0" applyFont="1" applyAlignment="1">
      <alignment horizontal="left" vertical="center"/>
    </xf>
    <xf numFmtId="43" fontId="17" fillId="0" borderId="1" xfId="1" applyFont="1" applyFill="1" applyBorder="1" applyAlignment="1">
      <alignment vertical="center"/>
    </xf>
    <xf numFmtId="43" fontId="17" fillId="0" borderId="4" xfId="1" applyFont="1" applyBorder="1" applyAlignment="1"/>
    <xf numFmtId="0" fontId="9" fillId="0" borderId="0" xfId="0" applyFont="1" applyAlignment="1">
      <alignment vertical="top"/>
    </xf>
    <xf numFmtId="43" fontId="17" fillId="0" borderId="2" xfId="1" applyFont="1" applyBorder="1" applyAlignment="1">
      <alignment horizontal="left" vertical="center"/>
    </xf>
    <xf numFmtId="43" fontId="17" fillId="0" borderId="2" xfId="1" applyFont="1" applyBorder="1" applyAlignment="1">
      <alignment vertical="center"/>
    </xf>
    <xf numFmtId="187" fontId="1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17" fillId="0" borderId="0" xfId="1" applyFont="1"/>
    <xf numFmtId="43" fontId="23" fillId="0" borderId="0" xfId="1" applyFont="1" applyFill="1"/>
    <xf numFmtId="0" fontId="23" fillId="0" borderId="0" xfId="0" applyFont="1" applyFill="1" applyAlignment="1">
      <alignment horizontal="center"/>
    </xf>
    <xf numFmtId="43" fontId="17" fillId="0" borderId="3" xfId="1" applyFont="1" applyBorder="1" applyAlignment="1">
      <alignment horizontal="left" vertical="center"/>
    </xf>
    <xf numFmtId="43" fontId="16" fillId="0" borderId="4" xfId="1" applyFont="1" applyBorder="1" applyAlignment="1">
      <alignment horizontal="center" vertical="center"/>
    </xf>
    <xf numFmtId="0" fontId="9" fillId="0" borderId="0" xfId="0" applyFont="1" applyBorder="1"/>
    <xf numFmtId="0" fontId="12" fillId="0" borderId="13" xfId="0" applyFont="1" applyBorder="1" applyAlignment="1">
      <alignment horizontal="center"/>
    </xf>
    <xf numFmtId="191" fontId="9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 wrapText="1" readingOrder="1"/>
    </xf>
    <xf numFmtId="188" fontId="10" fillId="2" borderId="14" xfId="0" applyNumberFormat="1" applyFont="1" applyFill="1" applyBorder="1" applyAlignment="1">
      <alignment horizontal="center" vertical="center" wrapText="1" readingOrder="1"/>
    </xf>
    <xf numFmtId="3" fontId="9" fillId="0" borderId="14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1" fillId="0" borderId="14" xfId="0" applyNumberFormat="1" applyFont="1" applyFill="1" applyBorder="1" applyAlignment="1">
      <alignment horizontal="center" vertical="center" wrapText="1" readingOrder="1"/>
    </xf>
    <xf numFmtId="43" fontId="16" fillId="0" borderId="4" xfId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11" fillId="0" borderId="14" xfId="0" applyFont="1" applyFill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14" fontId="9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27" fillId="0" borderId="14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26" fillId="0" borderId="14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4" fontId="10" fillId="0" borderId="14" xfId="0" applyNumberFormat="1" applyFont="1" applyFill="1" applyBorder="1" applyAlignment="1">
      <alignment horizontal="center" vertical="center"/>
    </xf>
    <xf numFmtId="187" fontId="16" fillId="0" borderId="23" xfId="1" applyNumberFormat="1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left" wrapText="1" readingOrder="1"/>
    </xf>
    <xf numFmtId="0" fontId="7" fillId="0" borderId="25" xfId="0" applyFont="1" applyFill="1" applyBorder="1" applyAlignment="1">
      <alignment horizontal="left" wrapText="1" readingOrder="1"/>
    </xf>
    <xf numFmtId="0" fontId="10" fillId="0" borderId="25" xfId="0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 wrapText="1" readingOrder="1"/>
    </xf>
    <xf numFmtId="188" fontId="10" fillId="2" borderId="25" xfId="0" applyNumberFormat="1" applyFont="1" applyFill="1" applyBorder="1" applyAlignment="1">
      <alignment horizontal="center" vertical="center" wrapText="1" readingOrder="1"/>
    </xf>
    <xf numFmtId="0" fontId="9" fillId="0" borderId="25" xfId="0" applyFont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 wrapText="1" readingOrder="1"/>
    </xf>
    <xf numFmtId="0" fontId="10" fillId="0" borderId="25" xfId="0" applyFont="1" applyFill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" fontId="26" fillId="0" borderId="25" xfId="0" applyNumberFormat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readingOrder="1"/>
    </xf>
    <xf numFmtId="0" fontId="30" fillId="0" borderId="14" xfId="0" applyFont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center" vertical="center" wrapText="1" readingOrder="1"/>
    </xf>
    <xf numFmtId="188" fontId="31" fillId="2" borderId="14" xfId="0" applyNumberFormat="1" applyFont="1" applyFill="1" applyBorder="1" applyAlignment="1">
      <alignment horizontal="center" vertical="center" wrapText="1" readingOrder="1"/>
    </xf>
    <xf numFmtId="3" fontId="32" fillId="0" borderId="14" xfId="0" applyNumberFormat="1" applyFont="1" applyFill="1" applyBorder="1" applyAlignment="1">
      <alignment horizontal="center" vertical="center" wrapText="1" readingOrder="1"/>
    </xf>
    <xf numFmtId="0" fontId="31" fillId="0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readingOrder="1"/>
    </xf>
    <xf numFmtId="4" fontId="31" fillId="0" borderId="14" xfId="0" applyNumberFormat="1" applyFont="1" applyBorder="1" applyAlignment="1">
      <alignment horizontal="center" vertical="center"/>
    </xf>
    <xf numFmtId="4" fontId="33" fillId="0" borderId="14" xfId="0" applyNumberFormat="1" applyFont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 vertical="center"/>
    </xf>
    <xf numFmtId="2" fontId="31" fillId="0" borderId="14" xfId="0" applyNumberFormat="1" applyFont="1" applyBorder="1" applyAlignment="1">
      <alignment horizontal="center" vertical="center"/>
    </xf>
    <xf numFmtId="4" fontId="31" fillId="0" borderId="14" xfId="0" applyNumberFormat="1" applyFont="1" applyFill="1" applyBorder="1" applyAlignment="1">
      <alignment horizontal="center" vertical="center" wrapText="1" readingOrder="1"/>
    </xf>
    <xf numFmtId="4" fontId="34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2" fontId="34" fillId="0" borderId="14" xfId="0" applyNumberFormat="1" applyFont="1" applyBorder="1" applyAlignment="1">
      <alignment horizontal="center" vertical="center"/>
    </xf>
    <xf numFmtId="4" fontId="34" fillId="0" borderId="14" xfId="0" quotePrefix="1" applyNumberFormat="1" applyFont="1" applyBorder="1" applyAlignment="1">
      <alignment horizontal="center" vertical="center"/>
    </xf>
    <xf numFmtId="43" fontId="16" fillId="0" borderId="1" xfId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 readingOrder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 readingOrder="1"/>
    </xf>
    <xf numFmtId="0" fontId="14" fillId="7" borderId="8" xfId="0" applyFont="1" applyFill="1" applyBorder="1" applyAlignment="1">
      <alignment horizontal="center" vertical="center" wrapText="1" readingOrder="1"/>
    </xf>
    <xf numFmtId="3" fontId="15" fillId="9" borderId="11" xfId="0" applyNumberFormat="1" applyFont="1" applyFill="1" applyBorder="1" applyAlignment="1" applyProtection="1">
      <alignment horizontal="center" vertical="center" wrapText="1"/>
    </xf>
    <xf numFmtId="3" fontId="15" fillId="9" borderId="8" xfId="0" applyNumberFormat="1" applyFont="1" applyFill="1" applyBorder="1" applyAlignment="1" applyProtection="1">
      <alignment horizontal="center" vertical="center" wrapText="1"/>
    </xf>
    <xf numFmtId="43" fontId="7" fillId="7" borderId="11" xfId="1" applyFont="1" applyFill="1" applyBorder="1" applyAlignment="1">
      <alignment horizontal="center" vertical="center" wrapText="1" readingOrder="1"/>
    </xf>
    <xf numFmtId="43" fontId="7" fillId="7" borderId="8" xfId="1" applyFont="1" applyFill="1" applyBorder="1" applyAlignment="1">
      <alignment horizontal="center" vertical="center" wrapText="1" readingOrder="1"/>
    </xf>
    <xf numFmtId="0" fontId="7" fillId="7" borderId="11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5" fillId="8" borderId="8" xfId="0" applyNumberFormat="1" applyFont="1" applyFill="1" applyBorder="1" applyAlignment="1" applyProtection="1">
      <alignment horizontal="center" vertical="center" wrapText="1"/>
    </xf>
    <xf numFmtId="3" fontId="15" fillId="8" borderId="9" xfId="0" applyNumberFormat="1" applyFont="1" applyFill="1" applyBorder="1" applyAlignment="1" applyProtection="1">
      <alignment horizontal="center" vertical="center" wrapText="1"/>
    </xf>
    <xf numFmtId="43" fontId="9" fillId="7" borderId="11" xfId="1" applyFont="1" applyFill="1" applyBorder="1" applyAlignment="1">
      <alignment horizontal="center" vertical="center" wrapText="1"/>
    </xf>
    <xf numFmtId="43" fontId="9" fillId="7" borderId="8" xfId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 readingOrder="1"/>
    </xf>
    <xf numFmtId="0" fontId="7" fillId="5" borderId="19" xfId="0" applyFont="1" applyFill="1" applyBorder="1" applyAlignment="1">
      <alignment horizontal="center" vertical="center" wrapText="1" readingOrder="1"/>
    </xf>
    <xf numFmtId="0" fontId="25" fillId="0" borderId="12" xfId="0" applyFont="1" applyBorder="1" applyAlignment="1">
      <alignment horizontal="center" vertical="center"/>
    </xf>
    <xf numFmtId="3" fontId="13" fillId="11" borderId="11" xfId="0" applyNumberFormat="1" applyFont="1" applyFill="1" applyBorder="1" applyAlignment="1" applyProtection="1">
      <alignment horizontal="center" vertical="center" wrapText="1"/>
    </xf>
    <xf numFmtId="3" fontId="13" fillId="10" borderId="11" xfId="0" applyNumberFormat="1" applyFont="1" applyFill="1" applyBorder="1" applyAlignment="1" applyProtection="1">
      <alignment horizontal="center" vertical="center" wrapText="1"/>
    </xf>
    <xf numFmtId="3" fontId="13" fillId="6" borderId="11" xfId="0" applyNumberFormat="1" applyFont="1" applyFill="1" applyBorder="1" applyAlignment="1" applyProtection="1">
      <alignment horizontal="center" vertical="center" wrapText="1"/>
    </xf>
    <xf numFmtId="3" fontId="13" fillId="3" borderId="10" xfId="0" applyNumberFormat="1" applyFont="1" applyFill="1" applyBorder="1" applyAlignment="1" applyProtection="1">
      <alignment horizontal="center" vertical="center" wrapText="1"/>
    </xf>
    <xf numFmtId="3" fontId="13" fillId="3" borderId="7" xfId="0" applyNumberFormat="1" applyFont="1" applyFill="1" applyBorder="1" applyAlignment="1" applyProtection="1">
      <alignment horizontal="center" vertical="center" wrapText="1"/>
    </xf>
    <xf numFmtId="189" fontId="15" fillId="6" borderId="8" xfId="0" applyNumberFormat="1" applyFont="1" applyFill="1" applyBorder="1" applyAlignment="1" applyProtection="1">
      <alignment horizontal="center" vertical="center" wrapText="1"/>
    </xf>
    <xf numFmtId="189" fontId="15" fillId="6" borderId="9" xfId="0" applyNumberFormat="1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 readingOrder="1"/>
    </xf>
    <xf numFmtId="0" fontId="12" fillId="4" borderId="14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 readingOrder="1"/>
    </xf>
    <xf numFmtId="3" fontId="15" fillId="9" borderId="14" xfId="0" applyNumberFormat="1" applyFont="1" applyFill="1" applyBorder="1" applyAlignment="1" applyProtection="1">
      <alignment horizontal="center" vertical="center" wrapText="1"/>
    </xf>
    <xf numFmtId="43" fontId="7" fillId="7" borderId="14" xfId="1" applyFont="1" applyFill="1" applyBorder="1" applyAlignment="1">
      <alignment horizontal="center" vertical="center" wrapText="1" readingOrder="1"/>
    </xf>
    <xf numFmtId="0" fontId="7" fillId="7" borderId="14" xfId="0" applyFont="1" applyFill="1" applyBorder="1" applyAlignment="1">
      <alignment horizontal="center" vertical="center" wrapText="1" readingOrder="1"/>
    </xf>
    <xf numFmtId="3" fontId="15" fillId="8" borderId="14" xfId="0" applyNumberFormat="1" applyFont="1" applyFill="1" applyBorder="1" applyAlignment="1" applyProtection="1">
      <alignment horizontal="center" vertical="center" wrapText="1"/>
    </xf>
    <xf numFmtId="43" fontId="9" fillId="7" borderId="14" xfId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 readingOrder="1"/>
    </xf>
    <xf numFmtId="0" fontId="7" fillId="4" borderId="20" xfId="0" applyFont="1" applyFill="1" applyBorder="1" applyAlignment="1">
      <alignment horizontal="center" vertical="center" wrapText="1" readingOrder="1"/>
    </xf>
    <xf numFmtId="0" fontId="7" fillId="4" borderId="16" xfId="0" applyFont="1" applyFill="1" applyBorder="1" applyAlignment="1">
      <alignment horizontal="center" vertical="center" wrapText="1" readingOrder="1"/>
    </xf>
    <xf numFmtId="0" fontId="25" fillId="0" borderId="0" xfId="0" applyFont="1" applyBorder="1" applyAlignment="1">
      <alignment horizontal="center" vertical="center"/>
    </xf>
    <xf numFmtId="3" fontId="13" fillId="11" borderId="14" xfId="0" applyNumberFormat="1" applyFont="1" applyFill="1" applyBorder="1" applyAlignment="1" applyProtection="1">
      <alignment horizontal="center" vertical="center" wrapText="1"/>
    </xf>
    <xf numFmtId="3" fontId="13" fillId="10" borderId="14" xfId="0" applyNumberFormat="1" applyFont="1" applyFill="1" applyBorder="1" applyAlignment="1" applyProtection="1">
      <alignment horizontal="center" vertical="center" wrapText="1"/>
    </xf>
    <xf numFmtId="3" fontId="13" fillId="6" borderId="14" xfId="0" applyNumberFormat="1" applyFont="1" applyFill="1" applyBorder="1" applyAlignment="1" applyProtection="1">
      <alignment horizontal="center" vertical="center" wrapText="1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189" fontId="15" fillId="6" borderId="14" xfId="0" applyNumberFormat="1" applyFont="1" applyFill="1" applyBorder="1" applyAlignment="1" applyProtection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 readingOrder="1"/>
    </xf>
    <xf numFmtId="3" fontId="13" fillId="3" borderId="19" xfId="0" applyNumberFormat="1" applyFont="1" applyFill="1" applyBorder="1" applyAlignment="1" applyProtection="1">
      <alignment horizontal="center" vertical="center" wrapText="1"/>
    </xf>
    <xf numFmtId="189" fontId="15" fillId="6" borderId="19" xfId="0" applyNumberFormat="1" applyFont="1" applyFill="1" applyBorder="1" applyAlignment="1" applyProtection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 readingOrder="1"/>
    </xf>
    <xf numFmtId="3" fontId="15" fillId="9" borderId="19" xfId="0" applyNumberFormat="1" applyFont="1" applyFill="1" applyBorder="1" applyAlignment="1" applyProtection="1">
      <alignment horizontal="center" vertical="center" wrapText="1"/>
    </xf>
    <xf numFmtId="43" fontId="7" fillId="7" borderId="19" xfId="1" applyFont="1" applyFill="1" applyBorder="1" applyAlignment="1">
      <alignment horizontal="center" vertical="center" wrapText="1" readingOrder="1"/>
    </xf>
    <xf numFmtId="3" fontId="15" fillId="8" borderId="19" xfId="0" applyNumberFormat="1" applyFont="1" applyFill="1" applyBorder="1" applyAlignment="1" applyProtection="1">
      <alignment horizontal="center" vertical="center" wrapText="1"/>
    </xf>
    <xf numFmtId="43" fontId="9" fillId="7" borderId="19" xfId="1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 readingOrder="1"/>
    </xf>
    <xf numFmtId="3" fontId="13" fillId="11" borderId="25" xfId="0" applyNumberFormat="1" applyFont="1" applyFill="1" applyBorder="1" applyAlignment="1" applyProtection="1">
      <alignment horizontal="center" vertical="center" wrapText="1"/>
    </xf>
    <xf numFmtId="3" fontId="13" fillId="10" borderId="25" xfId="0" applyNumberFormat="1" applyFont="1" applyFill="1" applyBorder="1" applyAlignment="1" applyProtection="1">
      <alignment horizontal="center" vertical="center" wrapText="1"/>
    </xf>
    <xf numFmtId="3" fontId="13" fillId="6" borderId="25" xfId="0" applyNumberFormat="1" applyFont="1" applyFill="1" applyBorder="1" applyAlignment="1" applyProtection="1">
      <alignment horizontal="center" vertical="center" wrapText="1"/>
    </xf>
    <xf numFmtId="3" fontId="13" fillId="3" borderId="25" xfId="0" applyNumberFormat="1" applyFont="1" applyFill="1" applyBorder="1" applyAlignment="1" applyProtection="1">
      <alignment horizontal="center" vertical="center" wrapText="1"/>
    </xf>
    <xf numFmtId="189" fontId="15" fillId="6" borderId="25" xfId="0" applyNumberFormat="1" applyFont="1" applyFill="1" applyBorder="1" applyAlignment="1" applyProtection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3" fontId="15" fillId="9" borderId="25" xfId="0" applyNumberFormat="1" applyFont="1" applyFill="1" applyBorder="1" applyAlignment="1" applyProtection="1">
      <alignment horizontal="center" vertical="center" wrapText="1"/>
    </xf>
    <xf numFmtId="43" fontId="7" fillId="7" borderId="25" xfId="1" applyFont="1" applyFill="1" applyBorder="1" applyAlignment="1">
      <alignment horizontal="center" vertical="center" wrapText="1" readingOrder="1"/>
    </xf>
    <xf numFmtId="3" fontId="15" fillId="8" borderId="25" xfId="0" applyNumberFormat="1" applyFont="1" applyFill="1" applyBorder="1" applyAlignment="1" applyProtection="1">
      <alignment horizontal="center" vertical="center" wrapText="1"/>
    </xf>
    <xf numFmtId="43" fontId="9" fillId="7" borderId="25" xfId="1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 readingOrder="1"/>
    </xf>
    <xf numFmtId="0" fontId="25" fillId="0" borderId="21" xfId="0" applyFont="1" applyBorder="1" applyAlignment="1">
      <alignment horizontal="center" vertical="center"/>
    </xf>
    <xf numFmtId="4" fontId="34" fillId="0" borderId="14" xfId="0" applyNumberFormat="1" applyFont="1" applyFill="1" applyBorder="1" applyAlignment="1">
      <alignment horizontal="center" vertical="center" wrapText="1" readingOrder="1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5273B"/>
      <color rgb="FF0000FF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P13" sqref="AP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4" t="s">
        <v>59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60" t="s">
        <v>53</v>
      </c>
      <c r="P1" s="41">
        <v>44161</v>
      </c>
    </row>
    <row r="2" spans="1:25" ht="54.75" customHeight="1" thickBot="1" x14ac:dyDescent="0.3">
      <c r="C2" s="126" t="s">
        <v>41</v>
      </c>
      <c r="D2" s="135" t="s">
        <v>40</v>
      </c>
      <c r="E2" s="135"/>
      <c r="F2" s="135"/>
      <c r="G2" s="135"/>
      <c r="H2" s="136" t="s">
        <v>39</v>
      </c>
      <c r="I2" s="136"/>
      <c r="J2" s="136"/>
      <c r="K2" s="137" t="s">
        <v>38</v>
      </c>
      <c r="L2" s="137"/>
      <c r="M2" s="137"/>
      <c r="N2" s="138" t="s">
        <v>58</v>
      </c>
      <c r="O2" s="117" t="s">
        <v>57</v>
      </c>
      <c r="P2" s="132" t="s">
        <v>56</v>
      </c>
      <c r="Q2" s="118" t="s">
        <v>37</v>
      </c>
    </row>
    <row r="3" spans="1:25" ht="38.25" customHeight="1" thickBot="1" x14ac:dyDescent="0.3">
      <c r="C3" s="126"/>
      <c r="D3" s="120" t="s">
        <v>36</v>
      </c>
      <c r="E3" s="120" t="s">
        <v>35</v>
      </c>
      <c r="F3" s="120" t="s">
        <v>34</v>
      </c>
      <c r="G3" s="122" t="s">
        <v>29</v>
      </c>
      <c r="H3" s="124" t="s">
        <v>33</v>
      </c>
      <c r="I3" s="126" t="s">
        <v>32</v>
      </c>
      <c r="J3" s="128" t="s">
        <v>29</v>
      </c>
      <c r="K3" s="130" t="s">
        <v>31</v>
      </c>
      <c r="L3" s="126" t="s">
        <v>30</v>
      </c>
      <c r="M3" s="140" t="s">
        <v>29</v>
      </c>
      <c r="N3" s="138"/>
      <c r="O3" s="117"/>
      <c r="P3" s="132"/>
      <c r="Q3" s="118"/>
    </row>
    <row r="4" spans="1:25" ht="36.75" customHeight="1" thickBot="1" x14ac:dyDescent="0.3">
      <c r="C4" s="127"/>
      <c r="D4" s="121"/>
      <c r="E4" s="121"/>
      <c r="F4" s="121"/>
      <c r="G4" s="123"/>
      <c r="H4" s="125"/>
      <c r="I4" s="127"/>
      <c r="J4" s="129"/>
      <c r="K4" s="131"/>
      <c r="L4" s="127"/>
      <c r="M4" s="141"/>
      <c r="N4" s="139"/>
      <c r="O4" s="117"/>
      <c r="P4" s="133"/>
      <c r="Q4" s="11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48" t="s">
        <v>28</v>
      </c>
      <c r="D5" s="47">
        <v>2.2400000000000002</v>
      </c>
      <c r="E5" s="47">
        <v>2.11</v>
      </c>
      <c r="F5" s="47">
        <v>0.88</v>
      </c>
      <c r="G5" s="47">
        <f t="shared" ref="G5:G20" si="0">(IF(D5&lt;1.5,1,0))+(IF(E5&lt;1,1,0))+(IF(F5&lt;0.8,1,0))</f>
        <v>0</v>
      </c>
      <c r="H5" s="53">
        <v>394910676.73000002</v>
      </c>
      <c r="I5" s="53">
        <v>41764003.240000002</v>
      </c>
      <c r="J5" s="47">
        <f t="shared" ref="J5:J20" si="1">IF(I5&lt;0,1,0)+IF(H5&lt;0,1,0)</f>
        <v>0</v>
      </c>
      <c r="K5" s="51">
        <f t="shared" ref="K5:K20" si="2">SUM(I5/1)</f>
        <v>41764003.240000002</v>
      </c>
      <c r="L5" s="45">
        <f>+H5/K5</f>
        <v>9.4557668349132129</v>
      </c>
      <c r="M5" s="43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3">SUM(G5+J5+M5)</f>
        <v>0</v>
      </c>
      <c r="O5" s="46">
        <v>1</v>
      </c>
      <c r="P5" s="54">
        <v>49421051.710000001</v>
      </c>
      <c r="Q5" s="64">
        <v>-38753156.869999997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48" t="s">
        <v>27</v>
      </c>
      <c r="D6" s="42">
        <v>0.96</v>
      </c>
      <c r="E6" s="70">
        <v>0.9</v>
      </c>
      <c r="F6" s="42">
        <v>0.64</v>
      </c>
      <c r="G6" s="55">
        <f t="shared" si="0"/>
        <v>3</v>
      </c>
      <c r="H6" s="64">
        <v>-7587993.8399999999</v>
      </c>
      <c r="I6" s="53">
        <v>17882706.010000002</v>
      </c>
      <c r="J6" s="55">
        <f>IF(I6&lt;0,1,0)+IF(H6&lt;0,1,0)</f>
        <v>1</v>
      </c>
      <c r="K6" s="51">
        <f>SUM(I6/1)</f>
        <v>17882706.010000002</v>
      </c>
      <c r="L6" s="45">
        <f>+H6/K6</f>
        <v>-0.42432022512458667</v>
      </c>
      <c r="M6" s="43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6">
        <f>SUM(G6+J6+M6)</f>
        <v>4</v>
      </c>
      <c r="O6" s="46">
        <v>6</v>
      </c>
      <c r="P6" s="54">
        <v>21580373.850000001</v>
      </c>
      <c r="Q6" s="64">
        <v>-61918959.990000002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48" t="s">
        <v>26</v>
      </c>
      <c r="D7" s="47">
        <v>1.53</v>
      </c>
      <c r="E7" s="47">
        <v>1.34</v>
      </c>
      <c r="F7" s="47">
        <v>0.96</v>
      </c>
      <c r="G7" s="47">
        <f t="shared" si="0"/>
        <v>0</v>
      </c>
      <c r="H7" s="53">
        <v>10719033.26</v>
      </c>
      <c r="I7" s="64">
        <v>-1007844.36</v>
      </c>
      <c r="J7" s="42">
        <f t="shared" si="1"/>
        <v>1</v>
      </c>
      <c r="K7" s="57">
        <f t="shared" si="2"/>
        <v>-1007844.36</v>
      </c>
      <c r="L7" s="45">
        <f t="shared" ref="L7:L20" si="5">+H7/K7</f>
        <v>-10.635603755325873</v>
      </c>
      <c r="M7" s="43">
        <f t="shared" si="4"/>
        <v>0</v>
      </c>
      <c r="N7" s="46">
        <f t="shared" si="3"/>
        <v>1</v>
      </c>
      <c r="O7" s="46">
        <v>1</v>
      </c>
      <c r="P7" s="77">
        <v>-738316.74</v>
      </c>
      <c r="Q7" s="64">
        <v>-790764.87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48" t="s">
        <v>25</v>
      </c>
      <c r="D8" s="47">
        <v>2.02</v>
      </c>
      <c r="E8" s="47">
        <v>1.62</v>
      </c>
      <c r="F8" s="47">
        <v>1.05</v>
      </c>
      <c r="G8" s="63">
        <f t="shared" si="0"/>
        <v>0</v>
      </c>
      <c r="H8" s="53">
        <v>10119793.550000001</v>
      </c>
      <c r="I8" s="64">
        <v>-746036.08</v>
      </c>
      <c r="J8" s="55">
        <f t="shared" si="1"/>
        <v>1</v>
      </c>
      <c r="K8" s="57">
        <f t="shared" si="2"/>
        <v>-746036.08</v>
      </c>
      <c r="L8" s="45">
        <f t="shared" si="5"/>
        <v>-13.564750849583577</v>
      </c>
      <c r="M8" s="47">
        <f t="shared" si="4"/>
        <v>0</v>
      </c>
      <c r="N8" s="46">
        <f t="shared" si="3"/>
        <v>1</v>
      </c>
      <c r="O8" s="46">
        <v>1</v>
      </c>
      <c r="P8" s="77">
        <v>-110664.37</v>
      </c>
      <c r="Q8" s="53">
        <v>325006.28000000003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48" t="s">
        <v>24</v>
      </c>
      <c r="D9" s="47">
        <v>1.95</v>
      </c>
      <c r="E9" s="47">
        <v>1.67</v>
      </c>
      <c r="F9" s="47">
        <v>1.29</v>
      </c>
      <c r="G9" s="47">
        <f t="shared" si="0"/>
        <v>0</v>
      </c>
      <c r="H9" s="53">
        <v>13504149.92</v>
      </c>
      <c r="I9" s="64">
        <v>-1217821.17</v>
      </c>
      <c r="J9" s="42">
        <f t="shared" si="1"/>
        <v>1</v>
      </c>
      <c r="K9" s="57">
        <f t="shared" si="2"/>
        <v>-1217821.17</v>
      </c>
      <c r="L9" s="45">
        <f t="shared" si="5"/>
        <v>-11.088779085684642</v>
      </c>
      <c r="M9" s="43">
        <f t="shared" si="4"/>
        <v>0</v>
      </c>
      <c r="N9" s="46">
        <f t="shared" si="3"/>
        <v>1</v>
      </c>
      <c r="O9" s="46">
        <v>0</v>
      </c>
      <c r="P9" s="77">
        <v>-786676.86</v>
      </c>
      <c r="Q9" s="53">
        <v>4141904.49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49" t="s">
        <v>23</v>
      </c>
      <c r="D10" s="42">
        <v>1.23</v>
      </c>
      <c r="E10" s="47">
        <v>1.1299999999999999</v>
      </c>
      <c r="F10" s="47">
        <v>0.88</v>
      </c>
      <c r="G10" s="42">
        <f t="shared" si="0"/>
        <v>1</v>
      </c>
      <c r="H10" s="53">
        <v>4043774.43</v>
      </c>
      <c r="I10" s="64">
        <v>-390693.78</v>
      </c>
      <c r="J10" s="42">
        <f t="shared" si="1"/>
        <v>1</v>
      </c>
      <c r="K10" s="57">
        <f t="shared" si="2"/>
        <v>-390693.78</v>
      </c>
      <c r="L10" s="45">
        <f t="shared" si="5"/>
        <v>-10.350240103643319</v>
      </c>
      <c r="M10" s="43">
        <f t="shared" si="4"/>
        <v>0</v>
      </c>
      <c r="N10" s="46">
        <f t="shared" si="3"/>
        <v>2</v>
      </c>
      <c r="O10" s="46">
        <v>2</v>
      </c>
      <c r="P10" s="77">
        <v>-160767.79999999999</v>
      </c>
      <c r="Q10" s="64">
        <v>-2214435.8199999998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49" t="s">
        <v>22</v>
      </c>
      <c r="D11" s="42">
        <v>1.1100000000000001</v>
      </c>
      <c r="E11" s="42">
        <v>0.95</v>
      </c>
      <c r="F11" s="42">
        <v>0.62</v>
      </c>
      <c r="G11" s="42">
        <f t="shared" si="0"/>
        <v>3</v>
      </c>
      <c r="H11" s="53">
        <v>6745356.6399999997</v>
      </c>
      <c r="I11" s="64">
        <v>-1783959.99</v>
      </c>
      <c r="J11" s="42">
        <f t="shared" si="1"/>
        <v>1</v>
      </c>
      <c r="K11" s="57">
        <f t="shared" si="2"/>
        <v>-1783959.99</v>
      </c>
      <c r="L11" s="45">
        <f t="shared" si="5"/>
        <v>-3.7811143062687185</v>
      </c>
      <c r="M11" s="42">
        <f t="shared" si="4"/>
        <v>1</v>
      </c>
      <c r="N11" s="46">
        <f t="shared" si="3"/>
        <v>5</v>
      </c>
      <c r="O11" s="46">
        <v>3</v>
      </c>
      <c r="P11" s="77">
        <v>-500513.71</v>
      </c>
      <c r="Q11" s="64">
        <v>-23330712.640000001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49" t="s">
        <v>21</v>
      </c>
      <c r="D12" s="70">
        <v>1.3</v>
      </c>
      <c r="E12" s="47">
        <v>1.1200000000000001</v>
      </c>
      <c r="F12" s="56">
        <v>0.8</v>
      </c>
      <c r="G12" s="42">
        <f t="shared" si="0"/>
        <v>1</v>
      </c>
      <c r="H12" s="53">
        <v>8412715.2400000002</v>
      </c>
      <c r="I12" s="53">
        <v>46356.91</v>
      </c>
      <c r="J12" s="47">
        <f t="shared" si="1"/>
        <v>0</v>
      </c>
      <c r="K12" s="51">
        <f t="shared" si="2"/>
        <v>46356.91</v>
      </c>
      <c r="L12" s="45">
        <f t="shared" si="5"/>
        <v>181.47704926838307</v>
      </c>
      <c r="M12" s="43">
        <f t="shared" si="4"/>
        <v>0</v>
      </c>
      <c r="N12" s="46">
        <f t="shared" si="3"/>
        <v>1</v>
      </c>
      <c r="O12" s="46">
        <v>1</v>
      </c>
      <c r="P12" s="54">
        <v>196652.73</v>
      </c>
      <c r="Q12" s="64">
        <v>-5958139.7400000002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49" t="s">
        <v>20</v>
      </c>
      <c r="D13" s="42">
        <v>1.28</v>
      </c>
      <c r="E13" s="47">
        <v>1.18</v>
      </c>
      <c r="F13" s="47">
        <v>1.02</v>
      </c>
      <c r="G13" s="42">
        <f t="shared" si="0"/>
        <v>1</v>
      </c>
      <c r="H13" s="53">
        <v>6453457.4100000001</v>
      </c>
      <c r="I13" s="64">
        <v>-840870.87</v>
      </c>
      <c r="J13" s="42">
        <f t="shared" si="1"/>
        <v>1</v>
      </c>
      <c r="K13" s="57">
        <f t="shared" si="2"/>
        <v>-840870.87</v>
      </c>
      <c r="L13" s="45">
        <f t="shared" si="5"/>
        <v>-7.6747306158911179</v>
      </c>
      <c r="M13" s="43">
        <f t="shared" si="4"/>
        <v>0</v>
      </c>
      <c r="N13" s="46">
        <f t="shared" si="3"/>
        <v>2</v>
      </c>
      <c r="O13" s="46">
        <v>1</v>
      </c>
      <c r="P13" s="77">
        <v>-305999.98</v>
      </c>
      <c r="Q13" s="53">
        <v>368721.29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49" t="s">
        <v>19</v>
      </c>
      <c r="D14" s="47">
        <v>1.79</v>
      </c>
      <c r="E14" s="47">
        <v>1.57</v>
      </c>
      <c r="F14" s="56">
        <v>1</v>
      </c>
      <c r="G14" s="47">
        <f t="shared" si="0"/>
        <v>0</v>
      </c>
      <c r="H14" s="53">
        <v>11666195.220000001</v>
      </c>
      <c r="I14" s="64">
        <v>-414440.15</v>
      </c>
      <c r="J14" s="42">
        <f t="shared" si="1"/>
        <v>1</v>
      </c>
      <c r="K14" s="57">
        <f t="shared" si="2"/>
        <v>-414440.15</v>
      </c>
      <c r="L14" s="45">
        <f t="shared" si="5"/>
        <v>-28.149288190345459</v>
      </c>
      <c r="M14" s="43">
        <f t="shared" si="4"/>
        <v>0</v>
      </c>
      <c r="N14" s="46">
        <f t="shared" si="3"/>
        <v>1</v>
      </c>
      <c r="O14" s="46">
        <v>0</v>
      </c>
      <c r="P14" s="77">
        <v>-112591.89</v>
      </c>
      <c r="Q14" s="53">
        <v>72202.679999999993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49" t="s">
        <v>18</v>
      </c>
      <c r="D15" s="56">
        <v>2.5</v>
      </c>
      <c r="E15" s="47">
        <v>2.16</v>
      </c>
      <c r="F15" s="56">
        <v>1.7</v>
      </c>
      <c r="G15" s="47">
        <f t="shared" si="0"/>
        <v>0</v>
      </c>
      <c r="H15" s="53">
        <v>19442948.75</v>
      </c>
      <c r="I15" s="53">
        <v>1190708.75</v>
      </c>
      <c r="J15" s="47">
        <f t="shared" si="1"/>
        <v>0</v>
      </c>
      <c r="K15" s="51">
        <f t="shared" si="2"/>
        <v>1190708.75</v>
      </c>
      <c r="L15" s="45">
        <f t="shared" si="5"/>
        <v>16.328887101904645</v>
      </c>
      <c r="M15" s="43">
        <f t="shared" si="4"/>
        <v>0</v>
      </c>
      <c r="N15" s="46">
        <f t="shared" si="3"/>
        <v>0</v>
      </c>
      <c r="O15" s="46">
        <v>0</v>
      </c>
      <c r="P15" s="77">
        <v>-175956.52</v>
      </c>
      <c r="Q15" s="53">
        <v>9072735.1099999994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49" t="s">
        <v>17</v>
      </c>
      <c r="D16" s="56">
        <v>3</v>
      </c>
      <c r="E16" s="47">
        <v>2.34</v>
      </c>
      <c r="F16" s="47">
        <v>1.98</v>
      </c>
      <c r="G16" s="47">
        <f t="shared" si="0"/>
        <v>0</v>
      </c>
      <c r="H16" s="53">
        <v>52125174.840000004</v>
      </c>
      <c r="I16" s="53">
        <v>7127083.5899999999</v>
      </c>
      <c r="J16" s="47">
        <f t="shared" si="1"/>
        <v>0</v>
      </c>
      <c r="K16" s="51">
        <f t="shared" si="2"/>
        <v>7127083.5899999999</v>
      </c>
      <c r="L16" s="45">
        <f t="shared" si="5"/>
        <v>7.3136752476337943</v>
      </c>
      <c r="M16" s="43">
        <f t="shared" si="4"/>
        <v>0</v>
      </c>
      <c r="N16" s="46">
        <f t="shared" si="3"/>
        <v>0</v>
      </c>
      <c r="O16" s="46">
        <v>0</v>
      </c>
      <c r="P16" s="77">
        <v>-2059955.8</v>
      </c>
      <c r="Q16" s="53">
        <v>25548804.18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49" t="s">
        <v>16</v>
      </c>
      <c r="D17" s="47">
        <v>2.0299999999999998</v>
      </c>
      <c r="E17" s="47">
        <v>1.61</v>
      </c>
      <c r="F17" s="47">
        <v>1.28</v>
      </c>
      <c r="G17" s="47">
        <f t="shared" si="0"/>
        <v>0</v>
      </c>
      <c r="H17" s="53">
        <v>3718967.68</v>
      </c>
      <c r="I17" s="64">
        <v>-1062409.52</v>
      </c>
      <c r="J17" s="42">
        <f t="shared" si="1"/>
        <v>1</v>
      </c>
      <c r="K17" s="57">
        <f t="shared" si="2"/>
        <v>-1062409.52</v>
      </c>
      <c r="L17" s="45">
        <f t="shared" si="5"/>
        <v>-3.5005029698905559</v>
      </c>
      <c r="M17" s="42">
        <f t="shared" si="4"/>
        <v>1</v>
      </c>
      <c r="N17" s="46">
        <f t="shared" si="3"/>
        <v>2</v>
      </c>
      <c r="O17" s="46">
        <v>1</v>
      </c>
      <c r="P17" s="77">
        <v>-823721.43</v>
      </c>
      <c r="Q17" s="53">
        <v>999786.59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49" t="s">
        <v>15</v>
      </c>
      <c r="D18" s="42">
        <v>1.25</v>
      </c>
      <c r="E18" s="47">
        <v>1.02</v>
      </c>
      <c r="F18" s="42">
        <v>0.56000000000000005</v>
      </c>
      <c r="G18" s="42">
        <f t="shared" si="0"/>
        <v>2</v>
      </c>
      <c r="H18" s="53">
        <v>4240012.62</v>
      </c>
      <c r="I18" s="64">
        <v>-1417582.46</v>
      </c>
      <c r="J18" s="42">
        <f t="shared" si="1"/>
        <v>1</v>
      </c>
      <c r="K18" s="57">
        <f t="shared" si="2"/>
        <v>-1417582.46</v>
      </c>
      <c r="L18" s="45">
        <f t="shared" si="5"/>
        <v>-2.9910165649199696</v>
      </c>
      <c r="M18" s="42">
        <f t="shared" si="4"/>
        <v>2</v>
      </c>
      <c r="N18" s="46">
        <f t="shared" si="3"/>
        <v>5</v>
      </c>
      <c r="O18" s="46">
        <v>3</v>
      </c>
      <c r="P18" s="77">
        <v>-796980.52</v>
      </c>
      <c r="Q18" s="64">
        <v>-7414986.0999999996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49" t="s">
        <v>14</v>
      </c>
      <c r="D19" s="42">
        <v>0.75</v>
      </c>
      <c r="E19" s="42">
        <v>0.62</v>
      </c>
      <c r="F19" s="42">
        <v>0.37</v>
      </c>
      <c r="G19" s="42">
        <f t="shared" si="0"/>
        <v>3</v>
      </c>
      <c r="H19" s="64">
        <v>-3545406.22</v>
      </c>
      <c r="I19" s="64">
        <v>-1601439.49</v>
      </c>
      <c r="J19" s="42">
        <f t="shared" si="1"/>
        <v>2</v>
      </c>
      <c r="K19" s="57">
        <f t="shared" si="2"/>
        <v>-1601439.49</v>
      </c>
      <c r="L19" s="45">
        <f t="shared" si="5"/>
        <v>2.2138870947911995</v>
      </c>
      <c r="M19" s="42">
        <f t="shared" si="4"/>
        <v>2</v>
      </c>
      <c r="N19" s="46">
        <f t="shared" si="3"/>
        <v>7</v>
      </c>
      <c r="O19" s="46">
        <v>6</v>
      </c>
      <c r="P19" s="77">
        <v>-158219.95000000001</v>
      </c>
      <c r="Q19" s="64">
        <v>-9085717.4000000004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48" t="s">
        <v>13</v>
      </c>
      <c r="D20" s="47">
        <v>1.91</v>
      </c>
      <c r="E20" s="47">
        <v>1.66</v>
      </c>
      <c r="F20" s="47">
        <v>1.25</v>
      </c>
      <c r="G20" s="47">
        <f t="shared" si="0"/>
        <v>0</v>
      </c>
      <c r="H20" s="53">
        <v>5858980.54</v>
      </c>
      <c r="I20" s="64">
        <v>-935524.44</v>
      </c>
      <c r="J20" s="42">
        <f t="shared" si="1"/>
        <v>1</v>
      </c>
      <c r="K20" s="57">
        <f t="shared" si="2"/>
        <v>-935524.44</v>
      </c>
      <c r="L20" s="45">
        <f t="shared" si="5"/>
        <v>-6.2627765662648009</v>
      </c>
      <c r="M20" s="43">
        <f t="shared" si="4"/>
        <v>0</v>
      </c>
      <c r="N20" s="46">
        <f t="shared" si="3"/>
        <v>1</v>
      </c>
      <c r="O20" s="46">
        <v>1</v>
      </c>
      <c r="P20" s="77">
        <v>-611226.43999999994</v>
      </c>
      <c r="Q20" s="53">
        <v>1599504.24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5" t="s">
        <v>5</v>
      </c>
      <c r="M23" s="115"/>
      <c r="N23" s="11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5"/>
      <c r="M24" s="115"/>
      <c r="N24" s="11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5" t="s">
        <v>5</v>
      </c>
      <c r="M25" s="115"/>
      <c r="N25" s="11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5"/>
      <c r="M26" s="115"/>
      <c r="N26" s="11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6" t="s">
        <v>5</v>
      </c>
      <c r="L27" s="116"/>
      <c r="M27" s="38"/>
      <c r="N27" s="38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5" t="s">
        <v>5</v>
      </c>
      <c r="M30" s="115"/>
      <c r="N30" s="11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5"/>
      <c r="M31" s="115"/>
      <c r="N31" s="11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AJ44"/>
  <sheetViews>
    <sheetView topLeftCell="B1" zoomScale="60" zoomScaleNormal="6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6" sqref="Q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80" t="s">
        <v>84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60" t="s">
        <v>53</v>
      </c>
      <c r="P1" s="67">
        <v>242751</v>
      </c>
      <c r="Q1" s="41"/>
    </row>
    <row r="2" spans="1:25" ht="54.75" customHeight="1" thickBot="1" x14ac:dyDescent="0.3">
      <c r="C2" s="147" t="s">
        <v>41</v>
      </c>
      <c r="D2" s="154" t="s">
        <v>40</v>
      </c>
      <c r="E2" s="154"/>
      <c r="F2" s="154"/>
      <c r="G2" s="154"/>
      <c r="H2" s="155" t="s">
        <v>39</v>
      </c>
      <c r="I2" s="155"/>
      <c r="J2" s="155"/>
      <c r="K2" s="156" t="s">
        <v>38</v>
      </c>
      <c r="L2" s="156"/>
      <c r="M2" s="156"/>
      <c r="N2" s="157" t="s">
        <v>85</v>
      </c>
      <c r="O2" s="142" t="s">
        <v>86</v>
      </c>
      <c r="P2" s="142" t="s">
        <v>56</v>
      </c>
      <c r="Q2" s="143" t="s">
        <v>37</v>
      </c>
    </row>
    <row r="3" spans="1:25" ht="38.25" customHeight="1" thickBot="1" x14ac:dyDescent="0.3">
      <c r="C3" s="147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47" t="s">
        <v>32</v>
      </c>
      <c r="J3" s="148" t="s">
        <v>29</v>
      </c>
      <c r="K3" s="149" t="s">
        <v>31</v>
      </c>
      <c r="L3" s="147" t="s">
        <v>30</v>
      </c>
      <c r="M3" s="158" t="s">
        <v>29</v>
      </c>
      <c r="N3" s="157"/>
      <c r="O3" s="142"/>
      <c r="P3" s="142"/>
      <c r="Q3" s="143"/>
    </row>
    <row r="4" spans="1:25" ht="36.75" customHeight="1" thickBot="1" x14ac:dyDescent="0.3">
      <c r="C4" s="147"/>
      <c r="D4" s="144"/>
      <c r="E4" s="144"/>
      <c r="F4" s="144"/>
      <c r="G4" s="145"/>
      <c r="H4" s="146"/>
      <c r="I4" s="147"/>
      <c r="J4" s="148"/>
      <c r="K4" s="149"/>
      <c r="L4" s="147"/>
      <c r="M4" s="158"/>
      <c r="N4" s="157"/>
      <c r="O4" s="142"/>
      <c r="P4" s="142"/>
      <c r="Q4" s="14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95" t="s">
        <v>28</v>
      </c>
      <c r="D5" s="96">
        <v>2.81</v>
      </c>
      <c r="E5" s="96">
        <v>2.64</v>
      </c>
      <c r="F5" s="111">
        <v>0.71</v>
      </c>
      <c r="G5" s="111">
        <f t="shared" ref="G5:G20" si="0">(IF(D5&lt;1.5,1,0))+(IF(E5&lt;1,1,0))+(IF(F5&lt;0.8,1,0))</f>
        <v>1</v>
      </c>
      <c r="H5" s="106">
        <v>599840562.87</v>
      </c>
      <c r="I5" s="106">
        <v>231087255.62</v>
      </c>
      <c r="J5" s="96">
        <f t="shared" ref="J5:J20" si="1">IF(I5&lt;0,1,0)+IF(H5&lt;0,1,0)</f>
        <v>0</v>
      </c>
      <c r="K5" s="97">
        <f>SUM(I5/10)</f>
        <v>23108725.561999999</v>
      </c>
      <c r="L5" s="98">
        <f>+H5/K5</f>
        <v>25.957319076755066</v>
      </c>
      <c r="M5" s="96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99">
        <f t="shared" ref="N5:N20" si="2">SUM(G5+J5+M5)</f>
        <v>1</v>
      </c>
      <c r="O5" s="99">
        <f>'มิ.ย.64'!N5</f>
        <v>1</v>
      </c>
      <c r="P5" s="105">
        <v>283347124.70999998</v>
      </c>
      <c r="Q5" s="114">
        <v>-94660520.150000006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95" t="s">
        <v>27</v>
      </c>
      <c r="D6" s="111">
        <v>1.17</v>
      </c>
      <c r="E6" s="107">
        <v>1.1000000000000001</v>
      </c>
      <c r="F6" s="111">
        <v>0.62</v>
      </c>
      <c r="G6" s="112">
        <f t="shared" si="0"/>
        <v>2</v>
      </c>
      <c r="H6" s="106">
        <v>27133640.73</v>
      </c>
      <c r="I6" s="106">
        <v>39539537.240000002</v>
      </c>
      <c r="J6" s="102">
        <f>IF(I6&lt;0,1,0)+IF(H6&lt;0,1,0)</f>
        <v>0</v>
      </c>
      <c r="K6" s="97">
        <f t="shared" ref="K6:K20" si="3">SUM(I6/10)</f>
        <v>3953953.7240000004</v>
      </c>
      <c r="L6" s="98">
        <f>+H6/K6</f>
        <v>6.8624072571467449</v>
      </c>
      <c r="M6" s="96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99">
        <f>SUM(G6+J6+M6)</f>
        <v>2</v>
      </c>
      <c r="O6" s="99">
        <f>'มิ.ย.64'!N6</f>
        <v>2</v>
      </c>
      <c r="P6" s="105">
        <v>66003915.579999998</v>
      </c>
      <c r="Q6" s="110">
        <v>-58100606.299999997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95" t="s">
        <v>26</v>
      </c>
      <c r="D7" s="107">
        <v>1.5</v>
      </c>
      <c r="E7" s="96">
        <v>1.25</v>
      </c>
      <c r="F7" s="96">
        <v>0.88</v>
      </c>
      <c r="G7" s="96">
        <f t="shared" si="0"/>
        <v>0</v>
      </c>
      <c r="H7" s="106">
        <v>13141714.48</v>
      </c>
      <c r="I7" s="106">
        <v>7075164.3799999999</v>
      </c>
      <c r="J7" s="96">
        <f t="shared" si="1"/>
        <v>0</v>
      </c>
      <c r="K7" s="97">
        <f t="shared" si="3"/>
        <v>707516.43799999997</v>
      </c>
      <c r="L7" s="98">
        <f t="shared" ref="L7:L20" si="5">+H7/K7</f>
        <v>18.574429898970067</v>
      </c>
      <c r="M7" s="96">
        <f t="shared" si="4"/>
        <v>0</v>
      </c>
      <c r="N7" s="99">
        <f t="shared" si="2"/>
        <v>0</v>
      </c>
      <c r="O7" s="99">
        <f>'มิ.ย.64'!N7</f>
        <v>0</v>
      </c>
      <c r="P7" s="105">
        <v>7933336.29</v>
      </c>
      <c r="Q7" s="110">
        <v>-3201486.54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95" t="s">
        <v>25</v>
      </c>
      <c r="D8" s="96">
        <v>3.08</v>
      </c>
      <c r="E8" s="96">
        <v>2.75</v>
      </c>
      <c r="F8" s="96">
        <v>2.0499999999999998</v>
      </c>
      <c r="G8" s="102">
        <f t="shared" si="0"/>
        <v>0</v>
      </c>
      <c r="H8" s="106">
        <v>24598329.989999998</v>
      </c>
      <c r="I8" s="106">
        <v>9440703.9399999995</v>
      </c>
      <c r="J8" s="102">
        <f t="shared" si="1"/>
        <v>0</v>
      </c>
      <c r="K8" s="97">
        <f t="shared" si="3"/>
        <v>944070.39399999997</v>
      </c>
      <c r="L8" s="98">
        <f t="shared" si="5"/>
        <v>26.055609990879557</v>
      </c>
      <c r="M8" s="96">
        <f t="shared" si="4"/>
        <v>0</v>
      </c>
      <c r="N8" s="99">
        <f t="shared" si="2"/>
        <v>0</v>
      </c>
      <c r="O8" s="99">
        <f>'มิ.ย.64'!N8</f>
        <v>0</v>
      </c>
      <c r="P8" s="105">
        <v>15280427.84</v>
      </c>
      <c r="Q8" s="106">
        <v>12464803.689999999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95" t="s">
        <v>24</v>
      </c>
      <c r="D9" s="96">
        <v>1.87</v>
      </c>
      <c r="E9" s="96">
        <v>1.67</v>
      </c>
      <c r="F9" s="107">
        <v>1.2</v>
      </c>
      <c r="G9" s="96">
        <f t="shared" si="0"/>
        <v>0</v>
      </c>
      <c r="H9" s="106">
        <v>19292741.390000001</v>
      </c>
      <c r="I9" s="106">
        <v>7077796.0099999998</v>
      </c>
      <c r="J9" s="96">
        <f t="shared" si="1"/>
        <v>0</v>
      </c>
      <c r="K9" s="97">
        <f t="shared" si="3"/>
        <v>707779.60100000002</v>
      </c>
      <c r="L9" s="98">
        <f t="shared" si="5"/>
        <v>27.258120130534817</v>
      </c>
      <c r="M9" s="96">
        <f t="shared" si="4"/>
        <v>0</v>
      </c>
      <c r="N9" s="99">
        <f t="shared" si="2"/>
        <v>0</v>
      </c>
      <c r="O9" s="99">
        <f>'มิ.ย.64'!N9</f>
        <v>0</v>
      </c>
      <c r="P9" s="105">
        <v>8415960.1400000006</v>
      </c>
      <c r="Q9" s="106">
        <v>4372819.93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103" t="s">
        <v>23</v>
      </c>
      <c r="D10" s="111">
        <v>1.21</v>
      </c>
      <c r="E10" s="96">
        <v>1.0900000000000001</v>
      </c>
      <c r="F10" s="96">
        <v>0.95</v>
      </c>
      <c r="G10" s="111">
        <f t="shared" si="0"/>
        <v>1</v>
      </c>
      <c r="H10" s="106">
        <v>4625977.7699999996</v>
      </c>
      <c r="I10" s="106">
        <v>400846.52</v>
      </c>
      <c r="J10" s="96">
        <f t="shared" si="1"/>
        <v>0</v>
      </c>
      <c r="K10" s="97">
        <f t="shared" si="3"/>
        <v>40084.652000000002</v>
      </c>
      <c r="L10" s="98">
        <f t="shared" si="5"/>
        <v>115.40521219942235</v>
      </c>
      <c r="M10" s="96">
        <f t="shared" si="4"/>
        <v>0</v>
      </c>
      <c r="N10" s="99">
        <f t="shared" si="2"/>
        <v>1</v>
      </c>
      <c r="O10" s="99">
        <f>'มิ.ย.64'!N10</f>
        <v>1</v>
      </c>
      <c r="P10" s="110">
        <v>-21912.86</v>
      </c>
      <c r="Q10" s="110">
        <v>-1244015.1100000001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103" t="s">
        <v>22</v>
      </c>
      <c r="D11" s="96">
        <v>2.44</v>
      </c>
      <c r="E11" s="96">
        <v>2.19</v>
      </c>
      <c r="F11" s="96">
        <v>1.01</v>
      </c>
      <c r="G11" s="96">
        <f t="shared" si="0"/>
        <v>0</v>
      </c>
      <c r="H11" s="106">
        <v>73091057.430000007</v>
      </c>
      <c r="I11" s="106">
        <v>62640930.609999999</v>
      </c>
      <c r="J11" s="96">
        <f t="shared" si="1"/>
        <v>0</v>
      </c>
      <c r="K11" s="97">
        <f t="shared" si="3"/>
        <v>6264093.0609999998</v>
      </c>
      <c r="L11" s="98">
        <f t="shared" si="5"/>
        <v>11.668258552073898</v>
      </c>
      <c r="M11" s="96">
        <f t="shared" si="4"/>
        <v>0</v>
      </c>
      <c r="N11" s="99">
        <f t="shared" si="2"/>
        <v>0</v>
      </c>
      <c r="O11" s="99">
        <f>'มิ.ย.64'!N11</f>
        <v>0</v>
      </c>
      <c r="P11" s="105">
        <v>71018698.159999996</v>
      </c>
      <c r="Q11" s="110">
        <v>-65607.09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103" t="s">
        <v>21</v>
      </c>
      <c r="D12" s="113">
        <v>1.4</v>
      </c>
      <c r="E12" s="96">
        <v>1.23</v>
      </c>
      <c r="F12" s="111">
        <v>0.79</v>
      </c>
      <c r="G12" s="111">
        <f t="shared" si="0"/>
        <v>2</v>
      </c>
      <c r="H12" s="106">
        <v>11711492.939999999</v>
      </c>
      <c r="I12" s="106">
        <v>5565030.5</v>
      </c>
      <c r="J12" s="96">
        <f t="shared" si="1"/>
        <v>0</v>
      </c>
      <c r="K12" s="97">
        <f t="shared" si="3"/>
        <v>556503.05000000005</v>
      </c>
      <c r="L12" s="98">
        <f t="shared" si="5"/>
        <v>21.044795603546106</v>
      </c>
      <c r="M12" s="96">
        <f t="shared" si="4"/>
        <v>0</v>
      </c>
      <c r="N12" s="99">
        <f t="shared" si="2"/>
        <v>2</v>
      </c>
      <c r="O12" s="99">
        <f>'มิ.ย.64'!N12</f>
        <v>1</v>
      </c>
      <c r="P12" s="105">
        <v>5829116.6200000001</v>
      </c>
      <c r="Q12" s="110">
        <v>-6226127.46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103" t="s">
        <v>20</v>
      </c>
      <c r="D13" s="107">
        <v>1.7</v>
      </c>
      <c r="E13" s="96">
        <v>1.61</v>
      </c>
      <c r="F13" s="96">
        <v>1.22</v>
      </c>
      <c r="G13" s="96">
        <f t="shared" si="0"/>
        <v>0</v>
      </c>
      <c r="H13" s="106">
        <v>18458500.289999999</v>
      </c>
      <c r="I13" s="106">
        <v>8286619.2300000004</v>
      </c>
      <c r="J13" s="96">
        <f t="shared" si="1"/>
        <v>0</v>
      </c>
      <c r="K13" s="97">
        <f t="shared" si="3"/>
        <v>828661.92300000007</v>
      </c>
      <c r="L13" s="98">
        <f t="shared" si="5"/>
        <v>22.275067524732879</v>
      </c>
      <c r="M13" s="96">
        <f t="shared" si="4"/>
        <v>0</v>
      </c>
      <c r="N13" s="99">
        <f t="shared" si="2"/>
        <v>0</v>
      </c>
      <c r="O13" s="99">
        <f>'มิ.ย.64'!N13</f>
        <v>0</v>
      </c>
      <c r="P13" s="105">
        <v>12007466.51</v>
      </c>
      <c r="Q13" s="106">
        <v>5686552.9699999997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103" t="s">
        <v>19</v>
      </c>
      <c r="D14" s="96">
        <v>2.59</v>
      </c>
      <c r="E14" s="96">
        <v>2.3199999999999998</v>
      </c>
      <c r="F14" s="107">
        <v>1.5</v>
      </c>
      <c r="G14" s="96">
        <f t="shared" si="0"/>
        <v>0</v>
      </c>
      <c r="H14" s="106">
        <v>21444142.559999999</v>
      </c>
      <c r="I14" s="106">
        <v>11004367.460000001</v>
      </c>
      <c r="J14" s="96">
        <f t="shared" si="1"/>
        <v>0</v>
      </c>
      <c r="K14" s="97">
        <f t="shared" si="3"/>
        <v>1100436.746</v>
      </c>
      <c r="L14" s="98">
        <f t="shared" si="5"/>
        <v>19.486937925280802</v>
      </c>
      <c r="M14" s="96">
        <f t="shared" si="4"/>
        <v>0</v>
      </c>
      <c r="N14" s="99">
        <f t="shared" si="2"/>
        <v>0</v>
      </c>
      <c r="O14" s="99">
        <f>'มิ.ย.64'!N14</f>
        <v>0</v>
      </c>
      <c r="P14" s="105">
        <v>12570008.4</v>
      </c>
      <c r="Q14" s="106">
        <v>6748742.4100000001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103" t="s">
        <v>18</v>
      </c>
      <c r="D15" s="96">
        <v>3.38</v>
      </c>
      <c r="E15" s="96">
        <v>3.02</v>
      </c>
      <c r="F15" s="96">
        <v>2.25</v>
      </c>
      <c r="G15" s="96">
        <f t="shared" si="0"/>
        <v>0</v>
      </c>
      <c r="H15" s="106">
        <v>31586966.449999999</v>
      </c>
      <c r="I15" s="106">
        <v>15716992.310000001</v>
      </c>
      <c r="J15" s="96">
        <f t="shared" si="1"/>
        <v>0</v>
      </c>
      <c r="K15" s="97">
        <f t="shared" si="3"/>
        <v>1571699.2310000001</v>
      </c>
      <c r="L15" s="98">
        <f t="shared" si="5"/>
        <v>20.09733530880629</v>
      </c>
      <c r="M15" s="96">
        <f t="shared" si="4"/>
        <v>0</v>
      </c>
      <c r="N15" s="99">
        <f t="shared" si="2"/>
        <v>0</v>
      </c>
      <c r="O15" s="99">
        <f>'มิ.ย.64'!N15</f>
        <v>0</v>
      </c>
      <c r="P15" s="105">
        <v>15887339.77</v>
      </c>
      <c r="Q15" s="106">
        <v>16602250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103" t="s">
        <v>17</v>
      </c>
      <c r="D16" s="96">
        <v>4.99</v>
      </c>
      <c r="E16" s="96">
        <v>4.57</v>
      </c>
      <c r="F16" s="96">
        <v>2.78</v>
      </c>
      <c r="G16" s="96">
        <f t="shared" si="0"/>
        <v>0</v>
      </c>
      <c r="H16" s="106">
        <v>91693512.370000005</v>
      </c>
      <c r="I16" s="106">
        <v>102613998.73999999</v>
      </c>
      <c r="J16" s="96">
        <f t="shared" si="1"/>
        <v>0</v>
      </c>
      <c r="K16" s="97">
        <f t="shared" si="3"/>
        <v>10261399.874</v>
      </c>
      <c r="L16" s="98">
        <f t="shared" si="5"/>
        <v>8.935770313593375</v>
      </c>
      <c r="M16" s="96">
        <f t="shared" si="4"/>
        <v>0</v>
      </c>
      <c r="N16" s="99">
        <f t="shared" si="2"/>
        <v>0</v>
      </c>
      <c r="O16" s="99">
        <f>'มิ.ย.64'!N16</f>
        <v>0</v>
      </c>
      <c r="P16" s="105">
        <v>60356993.979999997</v>
      </c>
      <c r="Q16" s="106">
        <v>40776159.659999996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103" t="s">
        <v>16</v>
      </c>
      <c r="D17" s="96">
        <v>2.0699999999999998</v>
      </c>
      <c r="E17" s="96">
        <v>1.83</v>
      </c>
      <c r="F17" s="96">
        <v>1.44</v>
      </c>
      <c r="G17" s="96">
        <f t="shared" si="0"/>
        <v>0</v>
      </c>
      <c r="H17" s="106">
        <v>6259376.8600000003</v>
      </c>
      <c r="I17" s="106">
        <v>144627.98000000001</v>
      </c>
      <c r="J17" s="96">
        <f t="shared" si="1"/>
        <v>0</v>
      </c>
      <c r="K17" s="97">
        <f t="shared" si="3"/>
        <v>14462.798000000001</v>
      </c>
      <c r="L17" s="98">
        <f t="shared" si="5"/>
        <v>432.79155665452839</v>
      </c>
      <c r="M17" s="96">
        <f t="shared" si="4"/>
        <v>0</v>
      </c>
      <c r="N17" s="99">
        <f t="shared" si="2"/>
        <v>0</v>
      </c>
      <c r="O17" s="99">
        <f>'มิ.ย.64'!N17</f>
        <v>0</v>
      </c>
      <c r="P17" s="105">
        <v>1637609.01</v>
      </c>
      <c r="Q17" s="106">
        <v>2559070.64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103" t="s">
        <v>15</v>
      </c>
      <c r="D18" s="96">
        <v>4.47</v>
      </c>
      <c r="E18" s="96">
        <v>4.33</v>
      </c>
      <c r="F18" s="96">
        <v>1.04</v>
      </c>
      <c r="G18" s="96">
        <f t="shared" si="0"/>
        <v>0</v>
      </c>
      <c r="H18" s="106">
        <v>92248719.579999998</v>
      </c>
      <c r="I18" s="106">
        <v>82486316.280000001</v>
      </c>
      <c r="J18" s="96">
        <f t="shared" si="1"/>
        <v>0</v>
      </c>
      <c r="K18" s="97">
        <f t="shared" si="3"/>
        <v>8248631.6280000005</v>
      </c>
      <c r="L18" s="98">
        <f t="shared" si="5"/>
        <v>11.183517914275804</v>
      </c>
      <c r="M18" s="96">
        <f t="shared" si="4"/>
        <v>0</v>
      </c>
      <c r="N18" s="99">
        <f t="shared" si="2"/>
        <v>0</v>
      </c>
      <c r="O18" s="99">
        <f>'มิ.ย.64'!N18</f>
        <v>0</v>
      </c>
      <c r="P18" s="105">
        <v>88455125.069999993</v>
      </c>
      <c r="Q18" s="106">
        <v>1134894.6399999999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103" t="s">
        <v>14</v>
      </c>
      <c r="D19" s="96">
        <v>2.4900000000000002</v>
      </c>
      <c r="E19" s="96">
        <v>2.16</v>
      </c>
      <c r="F19" s="111">
        <v>0.43</v>
      </c>
      <c r="G19" s="111">
        <f t="shared" si="0"/>
        <v>1</v>
      </c>
      <c r="H19" s="106">
        <v>14635090.460000001</v>
      </c>
      <c r="I19" s="106">
        <v>11294665.789999999</v>
      </c>
      <c r="J19" s="96">
        <f t="shared" si="1"/>
        <v>0</v>
      </c>
      <c r="K19" s="97">
        <f t="shared" si="3"/>
        <v>1129466.5789999999</v>
      </c>
      <c r="L19" s="98">
        <f t="shared" si="5"/>
        <v>12.957524137595577</v>
      </c>
      <c r="M19" s="96">
        <f t="shared" si="4"/>
        <v>0</v>
      </c>
      <c r="N19" s="99">
        <f t="shared" si="2"/>
        <v>1</v>
      </c>
      <c r="O19" s="99">
        <f>'มิ.ย.64'!N19</f>
        <v>2</v>
      </c>
      <c r="P19" s="105">
        <v>14996463.960000001</v>
      </c>
      <c r="Q19" s="110">
        <v>-5573779.4299999997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95" t="s">
        <v>13</v>
      </c>
      <c r="D20" s="96">
        <v>1.73</v>
      </c>
      <c r="E20" s="96">
        <v>1.55</v>
      </c>
      <c r="F20" s="96">
        <v>1.18</v>
      </c>
      <c r="G20" s="96">
        <f t="shared" si="0"/>
        <v>0</v>
      </c>
      <c r="H20" s="106">
        <v>5754554.04</v>
      </c>
      <c r="I20" s="110">
        <v>-1789041.54</v>
      </c>
      <c r="J20" s="111">
        <f t="shared" si="1"/>
        <v>1</v>
      </c>
      <c r="K20" s="109">
        <f t="shared" si="3"/>
        <v>-178904.15400000001</v>
      </c>
      <c r="L20" s="98">
        <f t="shared" si="5"/>
        <v>-32.165569727352441</v>
      </c>
      <c r="M20" s="96">
        <f t="shared" si="4"/>
        <v>0</v>
      </c>
      <c r="N20" s="99">
        <f t="shared" si="2"/>
        <v>1</v>
      </c>
      <c r="O20" s="99">
        <f>'มิ.ย.64'!N20</f>
        <v>0</v>
      </c>
      <c r="P20" s="105">
        <v>1129667.31</v>
      </c>
      <c r="Q20" s="106">
        <v>1394325.95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5" t="s">
        <v>5</v>
      </c>
      <c r="M23" s="115"/>
      <c r="N23" s="11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5"/>
      <c r="M24" s="115"/>
      <c r="N24" s="11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5" t="s">
        <v>5</v>
      </c>
      <c r="M25" s="115"/>
      <c r="N25" s="11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5"/>
      <c r="M26" s="115"/>
      <c r="N26" s="11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6" t="s">
        <v>5</v>
      </c>
      <c r="L27" s="116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5" t="s">
        <v>5</v>
      </c>
      <c r="M30" s="115"/>
      <c r="N30" s="11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5"/>
      <c r="M31" s="115"/>
      <c r="N31" s="11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>
    <tabColor rgb="FF92D050"/>
    <pageSetUpPr fitToPage="1"/>
  </sheetPr>
  <dimension ref="A1:AJ44"/>
  <sheetViews>
    <sheetView tabSelected="1"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12" sqref="Q1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80" t="s">
        <v>87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60" t="s">
        <v>53</v>
      </c>
      <c r="P1" s="67">
        <v>242782</v>
      </c>
      <c r="Q1" s="41"/>
    </row>
    <row r="2" spans="1:25" ht="54.75" customHeight="1" thickBot="1" x14ac:dyDescent="0.3">
      <c r="C2" s="147" t="s">
        <v>41</v>
      </c>
      <c r="D2" s="154" t="s">
        <v>40</v>
      </c>
      <c r="E2" s="154"/>
      <c r="F2" s="154"/>
      <c r="G2" s="154"/>
      <c r="H2" s="155" t="s">
        <v>39</v>
      </c>
      <c r="I2" s="155"/>
      <c r="J2" s="155"/>
      <c r="K2" s="156" t="s">
        <v>38</v>
      </c>
      <c r="L2" s="156"/>
      <c r="M2" s="156"/>
      <c r="N2" s="157" t="s">
        <v>88</v>
      </c>
      <c r="O2" s="142" t="s">
        <v>89</v>
      </c>
      <c r="P2" s="142" t="s">
        <v>56</v>
      </c>
      <c r="Q2" s="143" t="s">
        <v>37</v>
      </c>
    </row>
    <row r="3" spans="1:25" ht="38.25" customHeight="1" thickBot="1" x14ac:dyDescent="0.3">
      <c r="C3" s="147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47" t="s">
        <v>32</v>
      </c>
      <c r="J3" s="148" t="s">
        <v>29</v>
      </c>
      <c r="K3" s="149" t="s">
        <v>31</v>
      </c>
      <c r="L3" s="147" t="s">
        <v>30</v>
      </c>
      <c r="M3" s="158" t="s">
        <v>29</v>
      </c>
      <c r="N3" s="157"/>
      <c r="O3" s="142"/>
      <c r="P3" s="142"/>
      <c r="Q3" s="143"/>
    </row>
    <row r="4" spans="1:25" ht="36.75" customHeight="1" thickBot="1" x14ac:dyDescent="0.3">
      <c r="C4" s="147"/>
      <c r="D4" s="144"/>
      <c r="E4" s="144"/>
      <c r="F4" s="144"/>
      <c r="G4" s="145"/>
      <c r="H4" s="146"/>
      <c r="I4" s="147"/>
      <c r="J4" s="148"/>
      <c r="K4" s="149"/>
      <c r="L4" s="147"/>
      <c r="M4" s="158"/>
      <c r="N4" s="157"/>
      <c r="O4" s="142"/>
      <c r="P4" s="142"/>
      <c r="Q4" s="14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96">
        <v>2.62</v>
      </c>
      <c r="E5" s="96">
        <v>2.4700000000000002</v>
      </c>
      <c r="F5" s="113">
        <v>0.7</v>
      </c>
      <c r="G5" s="111">
        <f t="shared" ref="G5:G20" si="0">(IF(D5&lt;1.5,1,0))+(IF(E5&lt;1,1,0))+(IF(F5&lt;0.8,1,0))</f>
        <v>1</v>
      </c>
      <c r="H5" s="106">
        <v>619238534.71000004</v>
      </c>
      <c r="I5" s="106">
        <v>252464221.72999999</v>
      </c>
      <c r="J5" s="96">
        <f t="shared" ref="J5:J20" si="1">IF(I5&lt;0,1,0)+IF(H5&lt;0,1,0)</f>
        <v>0</v>
      </c>
      <c r="K5" s="97">
        <f t="shared" ref="K5:K20" si="2">SUM(I5/11)</f>
        <v>22951292.884545453</v>
      </c>
      <c r="L5" s="98">
        <f>+H5/K5</f>
        <v>26.980551284192458</v>
      </c>
      <c r="M5" s="96">
        <f t="shared" ref="M5:M10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99">
        <f>SUM(G5+J5+M5)</f>
        <v>1</v>
      </c>
      <c r="O5" s="99">
        <f>'ก.ค.64'!N5</f>
        <v>1</v>
      </c>
      <c r="P5" s="106">
        <v>311005958.64999998</v>
      </c>
      <c r="Q5" s="110">
        <v>-114114484.43000001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111">
        <v>1.26</v>
      </c>
      <c r="E6" s="107">
        <v>1.2</v>
      </c>
      <c r="F6" s="111">
        <v>0.62</v>
      </c>
      <c r="G6" s="112">
        <f t="shared" si="0"/>
        <v>2</v>
      </c>
      <c r="H6" s="106">
        <v>42932477.32</v>
      </c>
      <c r="I6" s="106">
        <v>53311522</v>
      </c>
      <c r="J6" s="102">
        <f>IF(I6&lt;0,1,0)+IF(H6&lt;0,1,0)</f>
        <v>0</v>
      </c>
      <c r="K6" s="97">
        <f t="shared" si="2"/>
        <v>4846502</v>
      </c>
      <c r="L6" s="98">
        <f>+H6/K6</f>
        <v>8.858446219562067</v>
      </c>
      <c r="M6" s="96">
        <f t="shared" si="3"/>
        <v>0</v>
      </c>
      <c r="N6" s="99">
        <f>SUM(G6+J6+M6)</f>
        <v>2</v>
      </c>
      <c r="O6" s="99">
        <f>'ก.ค.64'!N6</f>
        <v>2</v>
      </c>
      <c r="P6" s="106">
        <v>83883445.609999999</v>
      </c>
      <c r="Q6" s="110">
        <v>-60000083.579999998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96">
        <v>2.2799999999999998</v>
      </c>
      <c r="E7" s="96">
        <v>2.0099999999999998</v>
      </c>
      <c r="F7" s="107">
        <v>0.8</v>
      </c>
      <c r="G7" s="96">
        <f t="shared" si="0"/>
        <v>0</v>
      </c>
      <c r="H7" s="106">
        <v>36910575.960000001</v>
      </c>
      <c r="I7" s="106">
        <v>29389178.050000001</v>
      </c>
      <c r="J7" s="96">
        <f t="shared" si="1"/>
        <v>0</v>
      </c>
      <c r="K7" s="97">
        <f t="shared" si="2"/>
        <v>2671743.459090909</v>
      </c>
      <c r="L7" s="98">
        <f t="shared" ref="L7:L20" si="4">+H7/K7</f>
        <v>13.815164713665752</v>
      </c>
      <c r="M7" s="96">
        <f t="shared" si="3"/>
        <v>0</v>
      </c>
      <c r="N7" s="99">
        <f t="shared" ref="N7:N20" si="5">SUM(G7+J7+M7)</f>
        <v>0</v>
      </c>
      <c r="O7" s="99">
        <f>'ก.ค.64'!N7</f>
        <v>0</v>
      </c>
      <c r="P7" s="106">
        <v>30516710.920000002</v>
      </c>
      <c r="Q7" s="110">
        <v>-5662489.0099999998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96">
        <v>3.77</v>
      </c>
      <c r="E8" s="96">
        <v>3.44</v>
      </c>
      <c r="F8" s="96">
        <v>1.94</v>
      </c>
      <c r="G8" s="102">
        <f t="shared" si="0"/>
        <v>0</v>
      </c>
      <c r="H8" s="106">
        <v>37882115.159999996</v>
      </c>
      <c r="I8" s="106">
        <v>22022950.030000001</v>
      </c>
      <c r="J8" s="102">
        <f t="shared" si="1"/>
        <v>0</v>
      </c>
      <c r="K8" s="97">
        <f t="shared" si="2"/>
        <v>2002086.3663636365</v>
      </c>
      <c r="L8" s="98">
        <f t="shared" si="4"/>
        <v>18.921319178055636</v>
      </c>
      <c r="M8" s="96">
        <f t="shared" si="3"/>
        <v>0</v>
      </c>
      <c r="N8" s="99">
        <f t="shared" si="5"/>
        <v>0</v>
      </c>
      <c r="O8" s="99">
        <f>'ก.ค.64'!N8</f>
        <v>0</v>
      </c>
      <c r="P8" s="106">
        <v>28564516.010000002</v>
      </c>
      <c r="Q8" s="106">
        <v>12827627.640000001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96">
        <v>2.39</v>
      </c>
      <c r="E9" s="96">
        <v>2.14</v>
      </c>
      <c r="F9" s="96">
        <v>1.02</v>
      </c>
      <c r="G9" s="96">
        <f t="shared" si="0"/>
        <v>0</v>
      </c>
      <c r="H9" s="106">
        <v>34636605.899999999</v>
      </c>
      <c r="I9" s="106">
        <v>21636584.629999999</v>
      </c>
      <c r="J9" s="96">
        <f t="shared" si="1"/>
        <v>0</v>
      </c>
      <c r="K9" s="97">
        <f t="shared" si="2"/>
        <v>1966962.239090909</v>
      </c>
      <c r="L9" s="98">
        <f t="shared" si="4"/>
        <v>17.609187005037956</v>
      </c>
      <c r="M9" s="96">
        <f t="shared" si="3"/>
        <v>0</v>
      </c>
      <c r="N9" s="99">
        <f t="shared" si="5"/>
        <v>0</v>
      </c>
      <c r="O9" s="99">
        <f>'ก.ค.64'!N9</f>
        <v>0</v>
      </c>
      <c r="P9" s="106">
        <v>23405893.07</v>
      </c>
      <c r="Q9" s="106">
        <v>96922.03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111">
        <v>1.36</v>
      </c>
      <c r="E10" s="96">
        <v>1.25</v>
      </c>
      <c r="F10" s="96">
        <v>0.89</v>
      </c>
      <c r="G10" s="111">
        <f t="shared" si="0"/>
        <v>1</v>
      </c>
      <c r="H10" s="106">
        <v>7707458.7400000002</v>
      </c>
      <c r="I10" s="106">
        <v>2163902.71</v>
      </c>
      <c r="J10" s="96">
        <f t="shared" si="1"/>
        <v>0</v>
      </c>
      <c r="K10" s="97">
        <f t="shared" si="2"/>
        <v>196718.42818181819</v>
      </c>
      <c r="L10" s="98">
        <f t="shared" si="4"/>
        <v>39.180156181790629</v>
      </c>
      <c r="M10" s="96">
        <f t="shared" si="3"/>
        <v>0</v>
      </c>
      <c r="N10" s="99">
        <f t="shared" si="5"/>
        <v>1</v>
      </c>
      <c r="O10" s="99">
        <f>'ก.ค.64'!N10</f>
        <v>1</v>
      </c>
      <c r="P10" s="106">
        <v>698310.15</v>
      </c>
      <c r="Q10" s="110">
        <v>-2318175.39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96">
        <v>2.75</v>
      </c>
      <c r="E11" s="96">
        <v>2.4900000000000002</v>
      </c>
      <c r="F11" s="96">
        <v>1.1399999999999999</v>
      </c>
      <c r="G11" s="96">
        <f t="shared" si="0"/>
        <v>0</v>
      </c>
      <c r="H11" s="106">
        <v>105506517.15000001</v>
      </c>
      <c r="I11" s="106">
        <v>95323188.299999997</v>
      </c>
      <c r="J11" s="96">
        <f t="shared" si="1"/>
        <v>0</v>
      </c>
      <c r="K11" s="97">
        <f t="shared" si="2"/>
        <v>8665744.3909090906</v>
      </c>
      <c r="L11" s="98">
        <f t="shared" si="4"/>
        <v>12.175124535254348</v>
      </c>
      <c r="M11" s="96">
        <f>IF(AND(I11&lt;0,H11&lt;0),2,IF(AND(I11&gt;0,H11&gt;0),0,IF(AND(H11&lt;0,I11&gt;0),IF(ABS((H11/(I11/11)))&lt;3,0,IF(ABS((H11/(I11/11)))&gt;6,2,1)),IF(AND(H11&gt;0,I11&lt;0),IF(ABS((H11/(I11/11)))&lt;3,2,IF(ABS((H11/(I11/1)))&gt;6,0,1))))))</f>
        <v>0</v>
      </c>
      <c r="N11" s="99">
        <f t="shared" si="5"/>
        <v>0</v>
      </c>
      <c r="O11" s="99">
        <f>'ก.ค.64'!N11</f>
        <v>0</v>
      </c>
      <c r="P11" s="106">
        <v>104335431.39</v>
      </c>
      <c r="Q11" s="106">
        <v>8060937.2300000004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96">
        <v>1.54</v>
      </c>
      <c r="E12" s="96">
        <v>1.36</v>
      </c>
      <c r="F12" s="111">
        <v>0.56000000000000005</v>
      </c>
      <c r="G12" s="111">
        <f t="shared" si="0"/>
        <v>1</v>
      </c>
      <c r="H12" s="106">
        <v>17739845.84</v>
      </c>
      <c r="I12" s="106">
        <v>14648667.23</v>
      </c>
      <c r="J12" s="96">
        <f t="shared" si="1"/>
        <v>0</v>
      </c>
      <c r="K12" s="97">
        <f t="shared" si="2"/>
        <v>1331697.020909091</v>
      </c>
      <c r="L12" s="98">
        <f t="shared" si="4"/>
        <v>13.321232653873317</v>
      </c>
      <c r="M12" s="96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99">
        <f t="shared" si="5"/>
        <v>1</v>
      </c>
      <c r="O12" s="99">
        <f>'ก.ค.64'!N12</f>
        <v>2</v>
      </c>
      <c r="P12" s="106">
        <v>15271279.52</v>
      </c>
      <c r="Q12" s="110">
        <v>-14316831.640000001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96">
        <v>2.5499999999999998</v>
      </c>
      <c r="E13" s="96">
        <v>2.48</v>
      </c>
      <c r="F13" s="96">
        <v>1.04</v>
      </c>
      <c r="G13" s="96">
        <f t="shared" si="0"/>
        <v>0</v>
      </c>
      <c r="H13" s="106">
        <v>43762081.200000003</v>
      </c>
      <c r="I13" s="106">
        <v>33845700.149999999</v>
      </c>
      <c r="J13" s="96">
        <f t="shared" si="1"/>
        <v>0</v>
      </c>
      <c r="K13" s="97">
        <f t="shared" si="2"/>
        <v>3076881.8318181816</v>
      </c>
      <c r="L13" s="98">
        <f t="shared" si="4"/>
        <v>14.222867042684005</v>
      </c>
      <c r="M13" s="96">
        <f t="shared" si="6"/>
        <v>0</v>
      </c>
      <c r="N13" s="99">
        <f t="shared" si="5"/>
        <v>0</v>
      </c>
      <c r="O13" s="99">
        <f>'ก.ค.64'!N13</f>
        <v>0</v>
      </c>
      <c r="P13" s="106">
        <v>38060772.719999999</v>
      </c>
      <c r="Q13" s="106">
        <v>396348.01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96">
        <v>2.0299999999999998</v>
      </c>
      <c r="E14" s="96">
        <v>1.79</v>
      </c>
      <c r="F14" s="96">
        <v>0.99</v>
      </c>
      <c r="G14" s="96">
        <f t="shared" si="0"/>
        <v>0</v>
      </c>
      <c r="H14" s="106">
        <v>20049213.5</v>
      </c>
      <c r="I14" s="106">
        <v>8768037.5899999999</v>
      </c>
      <c r="J14" s="96">
        <f t="shared" si="1"/>
        <v>0</v>
      </c>
      <c r="K14" s="97">
        <f t="shared" si="2"/>
        <v>797094.3263636363</v>
      </c>
      <c r="L14" s="98">
        <f t="shared" si="4"/>
        <v>25.152874430138024</v>
      </c>
      <c r="M14" s="96">
        <f t="shared" si="6"/>
        <v>0</v>
      </c>
      <c r="N14" s="99">
        <f t="shared" si="5"/>
        <v>0</v>
      </c>
      <c r="O14" s="99">
        <f>'ก.ค.64'!N14</f>
        <v>0</v>
      </c>
      <c r="P14" s="106">
        <v>11260873.75</v>
      </c>
      <c r="Q14" s="110">
        <v>-246384.39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96">
        <v>4.29</v>
      </c>
      <c r="E15" s="96">
        <v>3.97</v>
      </c>
      <c r="F15" s="96">
        <v>1.85</v>
      </c>
      <c r="G15" s="96">
        <f t="shared" si="0"/>
        <v>0</v>
      </c>
      <c r="H15" s="106">
        <v>47849774.490000002</v>
      </c>
      <c r="I15" s="106">
        <v>31550241.219999999</v>
      </c>
      <c r="J15" s="96">
        <f t="shared" si="1"/>
        <v>0</v>
      </c>
      <c r="K15" s="97">
        <f t="shared" si="2"/>
        <v>2868203.7472727271</v>
      </c>
      <c r="L15" s="98">
        <f t="shared" si="4"/>
        <v>16.682836613507199</v>
      </c>
      <c r="M15" s="96">
        <f t="shared" si="6"/>
        <v>0</v>
      </c>
      <c r="N15" s="99">
        <f t="shared" si="5"/>
        <v>0</v>
      </c>
      <c r="O15" s="99">
        <f>'ก.ค.64'!N15</f>
        <v>0</v>
      </c>
      <c r="P15" s="106">
        <v>32265372.809999999</v>
      </c>
      <c r="Q15" s="106">
        <v>12403514.75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96">
        <v>6.11</v>
      </c>
      <c r="E16" s="96">
        <v>5.69</v>
      </c>
      <c r="F16" s="96">
        <v>2.38</v>
      </c>
      <c r="G16" s="96">
        <f t="shared" si="0"/>
        <v>0</v>
      </c>
      <c r="H16" s="106">
        <v>137435779.97</v>
      </c>
      <c r="I16" s="106">
        <v>148344555.86000001</v>
      </c>
      <c r="J16" s="96">
        <f t="shared" si="1"/>
        <v>0</v>
      </c>
      <c r="K16" s="97">
        <f t="shared" si="2"/>
        <v>13485868.714545457</v>
      </c>
      <c r="L16" s="98">
        <f t="shared" si="4"/>
        <v>10.191095796577484</v>
      </c>
      <c r="M16" s="96">
        <f t="shared" si="6"/>
        <v>0</v>
      </c>
      <c r="N16" s="99">
        <f t="shared" si="5"/>
        <v>0</v>
      </c>
      <c r="O16" s="99">
        <f>'ก.ค.64'!N16</f>
        <v>0</v>
      </c>
      <c r="P16" s="106">
        <v>107000399.06999999</v>
      </c>
      <c r="Q16" s="106">
        <v>37202305.439999998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96">
        <v>2.16</v>
      </c>
      <c r="E17" s="96">
        <v>1.92</v>
      </c>
      <c r="F17" s="96">
        <v>1.1299999999999999</v>
      </c>
      <c r="G17" s="96">
        <f t="shared" si="0"/>
        <v>0</v>
      </c>
      <c r="H17" s="106">
        <v>7431120.2599999998</v>
      </c>
      <c r="I17" s="106">
        <v>1101881.3500000001</v>
      </c>
      <c r="J17" s="96">
        <f t="shared" si="1"/>
        <v>0</v>
      </c>
      <c r="K17" s="97">
        <f t="shared" si="2"/>
        <v>100171.03181818183</v>
      </c>
      <c r="L17" s="98">
        <f t="shared" si="4"/>
        <v>74.184323802195209</v>
      </c>
      <c r="M17" s="96">
        <f t="shared" si="6"/>
        <v>0</v>
      </c>
      <c r="N17" s="99">
        <f t="shared" si="5"/>
        <v>0</v>
      </c>
      <c r="O17" s="99">
        <f>'ก.ค.64'!N17</f>
        <v>0</v>
      </c>
      <c r="P17" s="106">
        <v>2829352.41</v>
      </c>
      <c r="Q17" s="106">
        <v>831423.96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96">
        <v>6.14</v>
      </c>
      <c r="E18" s="96">
        <v>5.98</v>
      </c>
      <c r="F18" s="96">
        <v>2.0699999999999998</v>
      </c>
      <c r="G18" s="96">
        <f t="shared" si="0"/>
        <v>0</v>
      </c>
      <c r="H18" s="106">
        <v>113385329.19</v>
      </c>
      <c r="I18" s="106">
        <v>102890295.44</v>
      </c>
      <c r="J18" s="96">
        <f t="shared" si="1"/>
        <v>0</v>
      </c>
      <c r="K18" s="97">
        <f t="shared" si="2"/>
        <v>9353663.2218181808</v>
      </c>
      <c r="L18" s="98">
        <f t="shared" si="4"/>
        <v>12.122023906689252</v>
      </c>
      <c r="M18" s="96">
        <f t="shared" si="6"/>
        <v>0</v>
      </c>
      <c r="N18" s="99">
        <f t="shared" si="5"/>
        <v>0</v>
      </c>
      <c r="O18" s="99">
        <f>'ก.ค.64'!N18</f>
        <v>0</v>
      </c>
      <c r="P18" s="106">
        <v>109718867.45</v>
      </c>
      <c r="Q18" s="106">
        <v>23618553.93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96">
        <v>3.26</v>
      </c>
      <c r="E19" s="96">
        <v>2.94</v>
      </c>
      <c r="F19" s="113">
        <v>0.3</v>
      </c>
      <c r="G19" s="111">
        <f t="shared" si="0"/>
        <v>1</v>
      </c>
      <c r="H19" s="106">
        <v>27524210.859999999</v>
      </c>
      <c r="I19" s="106">
        <v>23839851.77</v>
      </c>
      <c r="J19" s="96">
        <f t="shared" si="1"/>
        <v>0</v>
      </c>
      <c r="K19" s="97">
        <f t="shared" si="2"/>
        <v>2167259.2518181819</v>
      </c>
      <c r="L19" s="98">
        <f t="shared" si="4"/>
        <v>12.70000847241006</v>
      </c>
      <c r="M19" s="96">
        <f t="shared" si="6"/>
        <v>0</v>
      </c>
      <c r="N19" s="99">
        <f t="shared" si="5"/>
        <v>1</v>
      </c>
      <c r="O19" s="99">
        <f>'ก.ค.64'!N19</f>
        <v>1</v>
      </c>
      <c r="P19" s="106">
        <v>27921250.359999999</v>
      </c>
      <c r="Q19" s="110">
        <v>-8540628.9199999999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96">
        <v>1.65</v>
      </c>
      <c r="E20" s="96">
        <v>1.46</v>
      </c>
      <c r="F20" s="107">
        <v>0.8</v>
      </c>
      <c r="G20" s="96">
        <f t="shared" si="0"/>
        <v>0</v>
      </c>
      <c r="H20" s="106">
        <v>6014358.4100000001</v>
      </c>
      <c r="I20" s="110">
        <v>-1705960.38</v>
      </c>
      <c r="J20" s="111">
        <f t="shared" si="1"/>
        <v>1</v>
      </c>
      <c r="K20" s="181">
        <f t="shared" si="2"/>
        <v>-155087.30727272725</v>
      </c>
      <c r="L20" s="98">
        <f t="shared" si="4"/>
        <v>-38.780468342412505</v>
      </c>
      <c r="M20" s="96">
        <f t="shared" si="6"/>
        <v>0</v>
      </c>
      <c r="N20" s="99">
        <f t="shared" si="5"/>
        <v>1</v>
      </c>
      <c r="O20" s="99">
        <f>'ก.ค.64'!N20</f>
        <v>1</v>
      </c>
      <c r="P20" s="106">
        <v>1564755.18</v>
      </c>
      <c r="Q20" s="110">
        <v>-1887794.03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5" t="s">
        <v>5</v>
      </c>
      <c r="M23" s="115"/>
      <c r="N23" s="11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5"/>
      <c r="M24" s="115"/>
      <c r="N24" s="11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5" t="s">
        <v>5</v>
      </c>
      <c r="M25" s="115"/>
      <c r="N25" s="11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5"/>
      <c r="M26" s="115"/>
      <c r="N26" s="11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6" t="s">
        <v>5</v>
      </c>
      <c r="L27" s="116"/>
      <c r="M27" s="94"/>
      <c r="N27" s="94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5" t="s">
        <v>5</v>
      </c>
      <c r="M30" s="115"/>
      <c r="N30" s="11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5"/>
      <c r="M31" s="115"/>
      <c r="N31" s="11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80" t="s">
        <v>90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60" t="s">
        <v>53</v>
      </c>
      <c r="P1" s="67"/>
      <c r="Q1" s="41"/>
    </row>
    <row r="2" spans="1:25" ht="54.75" customHeight="1" thickBot="1" x14ac:dyDescent="0.3">
      <c r="C2" s="147" t="s">
        <v>41</v>
      </c>
      <c r="D2" s="154" t="s">
        <v>40</v>
      </c>
      <c r="E2" s="154"/>
      <c r="F2" s="154"/>
      <c r="G2" s="154"/>
      <c r="H2" s="155" t="s">
        <v>39</v>
      </c>
      <c r="I2" s="155"/>
      <c r="J2" s="155"/>
      <c r="K2" s="156" t="s">
        <v>38</v>
      </c>
      <c r="L2" s="156"/>
      <c r="M2" s="156"/>
      <c r="N2" s="157" t="s">
        <v>91</v>
      </c>
      <c r="O2" s="142" t="s">
        <v>92</v>
      </c>
      <c r="P2" s="150" t="s">
        <v>56</v>
      </c>
      <c r="Q2" s="143" t="s">
        <v>37</v>
      </c>
    </row>
    <row r="3" spans="1:25" ht="38.25" customHeight="1" thickBot="1" x14ac:dyDescent="0.3">
      <c r="C3" s="147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47" t="s">
        <v>32</v>
      </c>
      <c r="J3" s="148" t="s">
        <v>29</v>
      </c>
      <c r="K3" s="149" t="s">
        <v>31</v>
      </c>
      <c r="L3" s="147" t="s">
        <v>30</v>
      </c>
      <c r="M3" s="158" t="s">
        <v>29</v>
      </c>
      <c r="N3" s="157"/>
      <c r="O3" s="142"/>
      <c r="P3" s="151"/>
      <c r="Q3" s="143"/>
    </row>
    <row r="4" spans="1:25" ht="36.75" customHeight="1" thickBot="1" x14ac:dyDescent="0.3">
      <c r="C4" s="147"/>
      <c r="D4" s="144"/>
      <c r="E4" s="144"/>
      <c r="F4" s="144"/>
      <c r="G4" s="145"/>
      <c r="H4" s="146"/>
      <c r="I4" s="147"/>
      <c r="J4" s="148"/>
      <c r="K4" s="149"/>
      <c r="L4" s="147"/>
      <c r="M4" s="158"/>
      <c r="N4" s="157"/>
      <c r="O4" s="142"/>
      <c r="P4" s="152"/>
      <c r="Q4" s="14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73"/>
      <c r="E5" s="73"/>
      <c r="F5" s="73"/>
      <c r="G5" s="47">
        <f t="shared" ref="G5:G20" si="0">(IF(D5&lt;1.5,1,0))+(IF(E5&lt;1,1,0))+(IF(F5&lt;0.8,1,0))</f>
        <v>3</v>
      </c>
      <c r="H5" s="74"/>
      <c r="I5" s="75"/>
      <c r="J5" s="42">
        <f t="shared" ref="J5:J20" si="1">IF(I5&lt;0,1,0)+IF(H5&lt;0,1,0)</f>
        <v>0</v>
      </c>
      <c r="K5" s="57">
        <f>SUM(I5/12)</f>
        <v>0</v>
      </c>
      <c r="L5" s="45" t="e">
        <f>+H5/K5</f>
        <v>#DIV/0!</v>
      </c>
      <c r="M5" s="43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>SUM(G5+J5+M5)</f>
        <v>3</v>
      </c>
      <c r="O5" s="46">
        <f>'ก.ค.64'!N5</f>
        <v>1</v>
      </c>
      <c r="P5" s="74"/>
      <c r="Q5" s="74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73"/>
      <c r="E6" s="73"/>
      <c r="F6" s="73"/>
      <c r="G6" s="55">
        <f t="shared" si="0"/>
        <v>3</v>
      </c>
      <c r="H6" s="74"/>
      <c r="I6" s="75"/>
      <c r="J6" s="55">
        <f>IF(I6&lt;0,1,0)+IF(H6&lt;0,1,0)</f>
        <v>0</v>
      </c>
      <c r="K6" s="57">
        <f t="shared" ref="K6:K20" si="3">SUM(I6/12)</f>
        <v>0</v>
      </c>
      <c r="L6" s="45" t="e">
        <f>+H6/K6</f>
        <v>#DIV/0!</v>
      </c>
      <c r="M6" s="42" t="b">
        <f t="shared" si="2"/>
        <v>0</v>
      </c>
      <c r="N6" s="46">
        <f>SUM(G6+J6+M6)</f>
        <v>3</v>
      </c>
      <c r="O6" s="46">
        <f>'ก.ค.64'!N6</f>
        <v>2</v>
      </c>
      <c r="P6" s="76"/>
      <c r="Q6" s="74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73"/>
      <c r="E7" s="73"/>
      <c r="F7" s="73"/>
      <c r="G7" s="42">
        <f t="shared" si="0"/>
        <v>3</v>
      </c>
      <c r="H7" s="76"/>
      <c r="I7" s="75"/>
      <c r="J7" s="47">
        <f t="shared" si="1"/>
        <v>0</v>
      </c>
      <c r="K7" s="57">
        <f t="shared" si="3"/>
        <v>0</v>
      </c>
      <c r="L7" s="45" t="e">
        <f t="shared" ref="L7:L20" si="4">+H7/K7</f>
        <v>#DIV/0!</v>
      </c>
      <c r="M7" s="43" t="b">
        <f t="shared" si="2"/>
        <v>0</v>
      </c>
      <c r="N7" s="46">
        <f t="shared" ref="N7:N20" si="5">SUM(G7+J7+M7)</f>
        <v>3</v>
      </c>
      <c r="O7" s="46">
        <f>'ก.ค.64'!N7</f>
        <v>0</v>
      </c>
      <c r="P7" s="74"/>
      <c r="Q7" s="74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73"/>
      <c r="E8" s="73"/>
      <c r="F8" s="73"/>
      <c r="G8" s="63">
        <f t="shared" si="0"/>
        <v>3</v>
      </c>
      <c r="H8" s="74"/>
      <c r="I8" s="75"/>
      <c r="J8" s="55">
        <f t="shared" si="1"/>
        <v>0</v>
      </c>
      <c r="K8" s="57">
        <f t="shared" si="3"/>
        <v>0</v>
      </c>
      <c r="L8" s="45" t="e">
        <f t="shared" si="4"/>
        <v>#DIV/0!</v>
      </c>
      <c r="M8" s="43" t="b">
        <f t="shared" si="2"/>
        <v>0</v>
      </c>
      <c r="N8" s="46">
        <f t="shared" si="5"/>
        <v>3</v>
      </c>
      <c r="O8" s="46">
        <f>'ก.ค.64'!N8</f>
        <v>0</v>
      </c>
      <c r="P8" s="74"/>
      <c r="Q8" s="74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73"/>
      <c r="E9" s="73"/>
      <c r="F9" s="73"/>
      <c r="G9" s="47">
        <f t="shared" si="0"/>
        <v>3</v>
      </c>
      <c r="H9" s="74"/>
      <c r="I9" s="75"/>
      <c r="J9" s="47">
        <f t="shared" si="1"/>
        <v>0</v>
      </c>
      <c r="K9" s="57">
        <f t="shared" si="3"/>
        <v>0</v>
      </c>
      <c r="L9" s="45" t="e">
        <f t="shared" si="4"/>
        <v>#DIV/0!</v>
      </c>
      <c r="M9" s="43" t="b">
        <f t="shared" si="2"/>
        <v>0</v>
      </c>
      <c r="N9" s="46">
        <f t="shared" si="5"/>
        <v>3</v>
      </c>
      <c r="O9" s="46">
        <f>'ก.ค.64'!N9</f>
        <v>0</v>
      </c>
      <c r="P9" s="74"/>
      <c r="Q9" s="74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73"/>
      <c r="E10" s="73"/>
      <c r="F10" s="73"/>
      <c r="G10" s="42">
        <f t="shared" si="0"/>
        <v>3</v>
      </c>
      <c r="H10" s="74"/>
      <c r="I10" s="75"/>
      <c r="J10" s="47">
        <f t="shared" si="1"/>
        <v>0</v>
      </c>
      <c r="K10" s="57">
        <f t="shared" si="3"/>
        <v>0</v>
      </c>
      <c r="L10" s="45" t="e">
        <f t="shared" si="4"/>
        <v>#DIV/0!</v>
      </c>
      <c r="M10" s="43" t="b">
        <f t="shared" si="2"/>
        <v>0</v>
      </c>
      <c r="N10" s="46">
        <f t="shared" si="5"/>
        <v>3</v>
      </c>
      <c r="O10" s="46">
        <f>'ก.ค.64'!N10</f>
        <v>1</v>
      </c>
      <c r="P10" s="74"/>
      <c r="Q10" s="74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73"/>
      <c r="E11" s="73"/>
      <c r="F11" s="73"/>
      <c r="G11" s="42">
        <f t="shared" si="0"/>
        <v>3</v>
      </c>
      <c r="H11" s="76"/>
      <c r="I11" s="75"/>
      <c r="J11" s="47">
        <f t="shared" si="1"/>
        <v>0</v>
      </c>
      <c r="K11" s="57">
        <f t="shared" si="3"/>
        <v>0</v>
      </c>
      <c r="L11" s="45" t="e">
        <f t="shared" si="4"/>
        <v>#DIV/0!</v>
      </c>
      <c r="M11" s="43" t="b">
        <f t="shared" si="2"/>
        <v>0</v>
      </c>
      <c r="N11" s="46">
        <f t="shared" si="5"/>
        <v>3</v>
      </c>
      <c r="O11" s="46">
        <f>'ก.ค.64'!N11</f>
        <v>0</v>
      </c>
      <c r="P11" s="74"/>
      <c r="Q11" s="74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73"/>
      <c r="E12" s="73"/>
      <c r="F12" s="73"/>
      <c r="G12" s="42">
        <f t="shared" si="0"/>
        <v>3</v>
      </c>
      <c r="H12" s="74"/>
      <c r="I12" s="75"/>
      <c r="J12" s="47">
        <f t="shared" si="1"/>
        <v>0</v>
      </c>
      <c r="K12" s="57">
        <f t="shared" si="3"/>
        <v>0</v>
      </c>
      <c r="L12" s="45" t="e">
        <f t="shared" si="4"/>
        <v>#DIV/0!</v>
      </c>
      <c r="M12" s="43" t="b">
        <f t="shared" si="2"/>
        <v>0</v>
      </c>
      <c r="N12" s="46">
        <f t="shared" si="5"/>
        <v>3</v>
      </c>
      <c r="O12" s="46">
        <f>'ก.ค.64'!N12</f>
        <v>2</v>
      </c>
      <c r="P12" s="74"/>
      <c r="Q12" s="74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73"/>
      <c r="E13" s="73"/>
      <c r="F13" s="73"/>
      <c r="G13" s="42">
        <f t="shared" si="0"/>
        <v>3</v>
      </c>
      <c r="H13" s="74"/>
      <c r="I13" s="75"/>
      <c r="J13" s="47">
        <f t="shared" si="1"/>
        <v>0</v>
      </c>
      <c r="K13" s="57">
        <f t="shared" si="3"/>
        <v>0</v>
      </c>
      <c r="L13" s="45" t="e">
        <f t="shared" si="4"/>
        <v>#DIV/0!</v>
      </c>
      <c r="M13" s="43" t="b">
        <f t="shared" si="2"/>
        <v>0</v>
      </c>
      <c r="N13" s="46">
        <f t="shared" si="5"/>
        <v>3</v>
      </c>
      <c r="O13" s="46">
        <f>'ก.ค.64'!N13</f>
        <v>0</v>
      </c>
      <c r="P13" s="74"/>
      <c r="Q13" s="74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73"/>
      <c r="E14" s="73"/>
      <c r="F14" s="73"/>
      <c r="G14" s="47">
        <f t="shared" si="0"/>
        <v>3</v>
      </c>
      <c r="H14" s="74"/>
      <c r="I14" s="75"/>
      <c r="J14" s="47">
        <f t="shared" si="1"/>
        <v>0</v>
      </c>
      <c r="K14" s="57">
        <f t="shared" si="3"/>
        <v>0</v>
      </c>
      <c r="L14" s="45" t="e">
        <f t="shared" si="4"/>
        <v>#DIV/0!</v>
      </c>
      <c r="M14" s="43" t="b">
        <f t="shared" si="2"/>
        <v>0</v>
      </c>
      <c r="N14" s="46">
        <f t="shared" si="5"/>
        <v>3</v>
      </c>
      <c r="O14" s="46">
        <f>'ก.ค.64'!N14</f>
        <v>0</v>
      </c>
      <c r="P14" s="74"/>
      <c r="Q14" s="74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73"/>
      <c r="E15" s="73"/>
      <c r="F15" s="73"/>
      <c r="G15" s="47">
        <f t="shared" si="0"/>
        <v>3</v>
      </c>
      <c r="H15" s="74"/>
      <c r="I15" s="75"/>
      <c r="J15" s="47">
        <f t="shared" si="1"/>
        <v>0</v>
      </c>
      <c r="K15" s="57">
        <f t="shared" si="3"/>
        <v>0</v>
      </c>
      <c r="L15" s="45" t="e">
        <f t="shared" si="4"/>
        <v>#DIV/0!</v>
      </c>
      <c r="M15" s="43" t="b">
        <f t="shared" si="2"/>
        <v>0</v>
      </c>
      <c r="N15" s="46">
        <f t="shared" si="5"/>
        <v>3</v>
      </c>
      <c r="O15" s="46">
        <f>'ก.ค.64'!N15</f>
        <v>0</v>
      </c>
      <c r="P15" s="74"/>
      <c r="Q15" s="74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73"/>
      <c r="E16" s="73"/>
      <c r="F16" s="73"/>
      <c r="G16" s="47">
        <f t="shared" si="0"/>
        <v>3</v>
      </c>
      <c r="H16" s="74"/>
      <c r="I16" s="75"/>
      <c r="J16" s="47">
        <f t="shared" si="1"/>
        <v>0</v>
      </c>
      <c r="K16" s="57">
        <f t="shared" si="3"/>
        <v>0</v>
      </c>
      <c r="L16" s="45" t="e">
        <f t="shared" si="4"/>
        <v>#DIV/0!</v>
      </c>
      <c r="M16" s="43" t="b">
        <f t="shared" si="2"/>
        <v>0</v>
      </c>
      <c r="N16" s="46">
        <f t="shared" si="5"/>
        <v>3</v>
      </c>
      <c r="O16" s="46">
        <f>'ก.ค.64'!N16</f>
        <v>0</v>
      </c>
      <c r="P16" s="74"/>
      <c r="Q16" s="74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7">
        <f t="shared" si="3"/>
        <v>0</v>
      </c>
      <c r="L17" s="45" t="e">
        <f t="shared" si="4"/>
        <v>#DIV/0!</v>
      </c>
      <c r="M17" s="43" t="b">
        <f t="shared" si="2"/>
        <v>0</v>
      </c>
      <c r="N17" s="46">
        <f t="shared" si="5"/>
        <v>3</v>
      </c>
      <c r="O17" s="46">
        <f>'ก.ค.64'!N17</f>
        <v>0</v>
      </c>
      <c r="P17" s="72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70"/>
      <c r="E18" s="56"/>
      <c r="F18" s="70"/>
      <c r="G18" s="42">
        <f t="shared" si="0"/>
        <v>3</v>
      </c>
      <c r="H18" s="53"/>
      <c r="I18" s="64"/>
      <c r="J18" s="42">
        <f t="shared" si="1"/>
        <v>0</v>
      </c>
      <c r="K18" s="57">
        <f t="shared" si="3"/>
        <v>0</v>
      </c>
      <c r="L18" s="45" t="e">
        <f t="shared" si="4"/>
        <v>#DIV/0!</v>
      </c>
      <c r="M18" s="43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46">
        <f t="shared" si="5"/>
        <v>3</v>
      </c>
      <c r="O18" s="46">
        <f>'ก.ค.64'!N18</f>
        <v>0</v>
      </c>
      <c r="P18" s="72"/>
      <c r="Q18" s="6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70"/>
      <c r="E19" s="70"/>
      <c r="F19" s="70"/>
      <c r="G19" s="42">
        <f t="shared" si="0"/>
        <v>3</v>
      </c>
      <c r="H19" s="64"/>
      <c r="I19" s="53"/>
      <c r="J19" s="42">
        <f t="shared" si="1"/>
        <v>0</v>
      </c>
      <c r="K19" s="57">
        <f t="shared" si="3"/>
        <v>0</v>
      </c>
      <c r="L19" s="45" t="e">
        <f t="shared" si="4"/>
        <v>#DIV/0!</v>
      </c>
      <c r="M19" s="42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46">
        <f t="shared" si="5"/>
        <v>3</v>
      </c>
      <c r="O19" s="46">
        <f>'ก.ค.64'!N19</f>
        <v>1</v>
      </c>
      <c r="P19" s="72"/>
      <c r="Q19" s="64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/>
      <c r="E20" s="56"/>
      <c r="F20" s="56"/>
      <c r="G20" s="47">
        <f t="shared" si="0"/>
        <v>3</v>
      </c>
      <c r="H20" s="53"/>
      <c r="I20" s="64"/>
      <c r="J20" s="42">
        <f t="shared" si="1"/>
        <v>0</v>
      </c>
      <c r="K20" s="57">
        <f t="shared" si="3"/>
        <v>0</v>
      </c>
      <c r="L20" s="45" t="e">
        <f t="shared" si="4"/>
        <v>#DIV/0!</v>
      </c>
      <c r="M20" s="43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46">
        <f t="shared" si="5"/>
        <v>3</v>
      </c>
      <c r="O20" s="46">
        <f>'ก.ค.64'!N20</f>
        <v>1</v>
      </c>
      <c r="P20" s="72"/>
      <c r="Q20" s="53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5" t="s">
        <v>5</v>
      </c>
      <c r="M23" s="115"/>
      <c r="N23" s="11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5"/>
      <c r="M24" s="115"/>
      <c r="N24" s="11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5" t="s">
        <v>5</v>
      </c>
      <c r="M25" s="115"/>
      <c r="N25" s="11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5"/>
      <c r="M26" s="115"/>
      <c r="N26" s="11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6" t="s">
        <v>5</v>
      </c>
      <c r="L27" s="116"/>
      <c r="M27" s="94"/>
      <c r="N27" s="94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5" t="s">
        <v>5</v>
      </c>
      <c r="M30" s="115"/>
      <c r="N30" s="11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5"/>
      <c r="M31" s="115"/>
      <c r="N31" s="11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6" sqref="I1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3" t="s">
        <v>60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60" t="s">
        <v>53</v>
      </c>
      <c r="P1" s="41">
        <v>44182</v>
      </c>
    </row>
    <row r="2" spans="1:25" ht="54.75" customHeight="1" thickBot="1" x14ac:dyDescent="0.3">
      <c r="C2" s="147" t="s">
        <v>41</v>
      </c>
      <c r="D2" s="154" t="s">
        <v>40</v>
      </c>
      <c r="E2" s="154"/>
      <c r="F2" s="154"/>
      <c r="G2" s="154"/>
      <c r="H2" s="155" t="s">
        <v>39</v>
      </c>
      <c r="I2" s="155"/>
      <c r="J2" s="155"/>
      <c r="K2" s="156" t="s">
        <v>38</v>
      </c>
      <c r="L2" s="156"/>
      <c r="M2" s="156"/>
      <c r="N2" s="157" t="s">
        <v>62</v>
      </c>
      <c r="O2" s="142" t="s">
        <v>61</v>
      </c>
      <c r="P2" s="150" t="s">
        <v>56</v>
      </c>
      <c r="Q2" s="143" t="s">
        <v>37</v>
      </c>
    </row>
    <row r="3" spans="1:25" ht="38.25" customHeight="1" thickBot="1" x14ac:dyDescent="0.3">
      <c r="C3" s="147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47" t="s">
        <v>32</v>
      </c>
      <c r="J3" s="148" t="s">
        <v>29</v>
      </c>
      <c r="K3" s="149" t="s">
        <v>31</v>
      </c>
      <c r="L3" s="147" t="s">
        <v>30</v>
      </c>
      <c r="M3" s="158" t="s">
        <v>29</v>
      </c>
      <c r="N3" s="157"/>
      <c r="O3" s="142"/>
      <c r="P3" s="151"/>
      <c r="Q3" s="143"/>
    </row>
    <row r="4" spans="1:25" ht="36.75" customHeight="1" thickBot="1" x14ac:dyDescent="0.3">
      <c r="C4" s="147"/>
      <c r="D4" s="144"/>
      <c r="E4" s="144"/>
      <c r="F4" s="144"/>
      <c r="G4" s="145"/>
      <c r="H4" s="146"/>
      <c r="I4" s="147"/>
      <c r="J4" s="148"/>
      <c r="K4" s="149"/>
      <c r="L4" s="147"/>
      <c r="M4" s="158"/>
      <c r="N4" s="157"/>
      <c r="O4" s="142"/>
      <c r="P4" s="152"/>
      <c r="Q4" s="14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2.2200000000000002</v>
      </c>
      <c r="E5" s="47">
        <v>2.09</v>
      </c>
      <c r="F5" s="47">
        <v>0.91</v>
      </c>
      <c r="G5" s="47">
        <f t="shared" ref="G5:G20" si="0">(IF(D5&lt;1.5,1,0))+(IF(E5&lt;1,1,0))+(IF(F5&lt;0.8,1,0))</f>
        <v>0</v>
      </c>
      <c r="H5" s="53">
        <v>419338003.55000001</v>
      </c>
      <c r="I5" s="53">
        <v>66683248.780000001</v>
      </c>
      <c r="J5" s="47">
        <f t="shared" ref="J5:J20" si="1">IF(I5&lt;0,1,0)+IF(H5&lt;0,1,0)</f>
        <v>0</v>
      </c>
      <c r="K5" s="51">
        <f t="shared" ref="K5:K20" si="2">SUM(I5/2)</f>
        <v>33341624.390000001</v>
      </c>
      <c r="L5" s="45">
        <f>+H5/K5</f>
        <v>12.577011804972829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0</v>
      </c>
      <c r="O5" s="46">
        <f>'ต.ค.63'!N5</f>
        <v>0</v>
      </c>
      <c r="P5" s="72">
        <v>82029230.180000007</v>
      </c>
      <c r="Q5" s="64">
        <v>-33109030.469999999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1.05</v>
      </c>
      <c r="E6" s="47">
        <v>1.01</v>
      </c>
      <c r="F6" s="70">
        <v>0.7</v>
      </c>
      <c r="G6" s="55">
        <f t="shared" si="0"/>
        <v>2</v>
      </c>
      <c r="H6" s="53">
        <v>8931808.7300000004</v>
      </c>
      <c r="I6" s="53">
        <v>34608406.759999998</v>
      </c>
      <c r="J6" s="63">
        <f>IF(I6&lt;0,1,0)+IF(H6&lt;0,1,0)</f>
        <v>0</v>
      </c>
      <c r="K6" s="51">
        <f t="shared" si="2"/>
        <v>17304203.379999999</v>
      </c>
      <c r="L6" s="45">
        <f>+H6/K6</f>
        <v>0.51616410960144421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2</v>
      </c>
      <c r="O6" s="46">
        <f>'ต.ค.63'!N6</f>
        <v>4</v>
      </c>
      <c r="P6" s="72">
        <v>42139789.770000003</v>
      </c>
      <c r="Q6" s="64">
        <v>-49281903.859999999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56">
        <v>1.8</v>
      </c>
      <c r="E7" s="47">
        <v>1.65</v>
      </c>
      <c r="F7" s="47">
        <v>1.32</v>
      </c>
      <c r="G7" s="47">
        <f t="shared" si="0"/>
        <v>0</v>
      </c>
      <c r="H7" s="53">
        <v>18414667.879999999</v>
      </c>
      <c r="I7" s="53">
        <v>9098661.1699999999</v>
      </c>
      <c r="J7" s="47">
        <f t="shared" si="1"/>
        <v>0</v>
      </c>
      <c r="K7" s="51">
        <f t="shared" si="2"/>
        <v>4549330.585</v>
      </c>
      <c r="L7" s="45">
        <f t="shared" ref="L7:L20" si="4">+H7/K7</f>
        <v>4.0477752794480635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'ต.ค.63'!N7</f>
        <v>1</v>
      </c>
      <c r="P7" s="72">
        <v>9637716.4100000001</v>
      </c>
      <c r="Q7" s="53">
        <v>7253155.0800000001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2.75</v>
      </c>
      <c r="E8" s="47">
        <v>2.41</v>
      </c>
      <c r="F8" s="47">
        <v>1.89</v>
      </c>
      <c r="G8" s="63">
        <f t="shared" si="0"/>
        <v>0</v>
      </c>
      <c r="H8" s="53">
        <v>19896841.27</v>
      </c>
      <c r="I8" s="53">
        <v>8877461.9199999999</v>
      </c>
      <c r="J8" s="63">
        <f t="shared" si="1"/>
        <v>0</v>
      </c>
      <c r="K8" s="51">
        <f t="shared" si="2"/>
        <v>4438730.96</v>
      </c>
      <c r="L8" s="45">
        <f t="shared" si="4"/>
        <v>4.482551758442237</v>
      </c>
      <c r="M8" s="43">
        <f t="shared" si="5"/>
        <v>0</v>
      </c>
      <c r="N8" s="46">
        <f t="shared" si="3"/>
        <v>0</v>
      </c>
      <c r="O8" s="46">
        <f>'ต.ค.63'!N8</f>
        <v>1</v>
      </c>
      <c r="P8" s="72">
        <v>10181460.439999999</v>
      </c>
      <c r="Q8" s="53">
        <v>10095498.060000001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2.0499999999999998</v>
      </c>
      <c r="E9" s="47">
        <v>1.84</v>
      </c>
      <c r="F9" s="56">
        <v>1.6</v>
      </c>
      <c r="G9" s="47">
        <f t="shared" si="0"/>
        <v>0</v>
      </c>
      <c r="H9" s="53">
        <v>21452965.07</v>
      </c>
      <c r="I9" s="53">
        <v>8534562.0999999996</v>
      </c>
      <c r="J9" s="47">
        <f t="shared" si="1"/>
        <v>0</v>
      </c>
      <c r="K9" s="51">
        <f t="shared" si="2"/>
        <v>4267281.05</v>
      </c>
      <c r="L9" s="45">
        <f t="shared" si="4"/>
        <v>5.0273147745916571</v>
      </c>
      <c r="M9" s="43">
        <f t="shared" si="5"/>
        <v>0</v>
      </c>
      <c r="N9" s="46">
        <f t="shared" si="3"/>
        <v>0</v>
      </c>
      <c r="O9" s="46">
        <f>'ต.ค.63'!N9</f>
        <v>1</v>
      </c>
      <c r="P9" s="72">
        <v>9396850.7200000007</v>
      </c>
      <c r="Q9" s="53">
        <v>12107659.43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1.66</v>
      </c>
      <c r="E10" s="47">
        <v>1.55</v>
      </c>
      <c r="F10" s="47">
        <v>1.37</v>
      </c>
      <c r="G10" s="47">
        <f t="shared" si="0"/>
        <v>0</v>
      </c>
      <c r="H10" s="53">
        <v>11763274.25</v>
      </c>
      <c r="I10" s="53">
        <v>6390461.5499999998</v>
      </c>
      <c r="J10" s="47">
        <f t="shared" si="1"/>
        <v>0</v>
      </c>
      <c r="K10" s="51">
        <f t="shared" si="2"/>
        <v>3195230.7749999999</v>
      </c>
      <c r="L10" s="45">
        <f t="shared" si="4"/>
        <v>3.6815100624461157</v>
      </c>
      <c r="M10" s="43">
        <f t="shared" si="5"/>
        <v>0</v>
      </c>
      <c r="N10" s="46">
        <f t="shared" si="3"/>
        <v>0</v>
      </c>
      <c r="O10" s="46">
        <f>'ต.ค.63'!N10</f>
        <v>2</v>
      </c>
      <c r="P10" s="72">
        <v>6850756.3099999996</v>
      </c>
      <c r="Q10" s="53">
        <v>6651716.75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2">
        <v>1.32</v>
      </c>
      <c r="E11" s="47">
        <v>1.1599999999999999</v>
      </c>
      <c r="F11" s="47">
        <v>0.87</v>
      </c>
      <c r="G11" s="42">
        <f t="shared" si="0"/>
        <v>1</v>
      </c>
      <c r="H11" s="53">
        <v>20928366.789999999</v>
      </c>
      <c r="I11" s="53">
        <v>13492138.890000001</v>
      </c>
      <c r="J11" s="47">
        <f t="shared" si="1"/>
        <v>0</v>
      </c>
      <c r="K11" s="51">
        <f t="shared" si="2"/>
        <v>6746069.4450000003</v>
      </c>
      <c r="L11" s="45">
        <f t="shared" si="4"/>
        <v>3.1023052698503606</v>
      </c>
      <c r="M11" s="43">
        <f t="shared" si="5"/>
        <v>0</v>
      </c>
      <c r="N11" s="46">
        <f t="shared" si="3"/>
        <v>1</v>
      </c>
      <c r="O11" s="46">
        <f>'ต.ค.63'!N11</f>
        <v>5</v>
      </c>
      <c r="P11" s="72">
        <v>16059031.449999999</v>
      </c>
      <c r="Q11" s="64">
        <v>-8724946.6999999993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1.65</v>
      </c>
      <c r="E12" s="47">
        <v>1.47</v>
      </c>
      <c r="F12" s="47">
        <v>1.1499999999999999</v>
      </c>
      <c r="G12" s="47">
        <f t="shared" si="0"/>
        <v>0</v>
      </c>
      <c r="H12" s="53">
        <v>19063465.719999999</v>
      </c>
      <c r="I12" s="53">
        <v>10617481.76</v>
      </c>
      <c r="J12" s="47">
        <f t="shared" si="1"/>
        <v>0</v>
      </c>
      <c r="K12" s="51">
        <f t="shared" si="2"/>
        <v>5308740.88</v>
      </c>
      <c r="L12" s="45">
        <f t="shared" si="4"/>
        <v>3.5909580352318873</v>
      </c>
      <c r="M12" s="43">
        <f t="shared" si="5"/>
        <v>0</v>
      </c>
      <c r="N12" s="46">
        <f t="shared" si="3"/>
        <v>0</v>
      </c>
      <c r="O12" s="46">
        <f>'ต.ค.63'!N12</f>
        <v>1</v>
      </c>
      <c r="P12" s="72">
        <v>10984441.75</v>
      </c>
      <c r="Q12" s="53">
        <v>4403662.25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1.64</v>
      </c>
      <c r="E13" s="47">
        <v>1.55</v>
      </c>
      <c r="F13" s="47">
        <v>1.39</v>
      </c>
      <c r="G13" s="47">
        <f t="shared" si="0"/>
        <v>0</v>
      </c>
      <c r="H13" s="53">
        <v>16842276.539999999</v>
      </c>
      <c r="I13" s="53">
        <v>8946087.8599999994</v>
      </c>
      <c r="J13" s="47">
        <f t="shared" si="1"/>
        <v>0</v>
      </c>
      <c r="K13" s="51">
        <f t="shared" si="2"/>
        <v>4473043.93</v>
      </c>
      <c r="L13" s="45">
        <f t="shared" si="4"/>
        <v>3.7652830608350407</v>
      </c>
      <c r="M13" s="43">
        <f t="shared" si="5"/>
        <v>0</v>
      </c>
      <c r="N13" s="46">
        <f t="shared" si="3"/>
        <v>0</v>
      </c>
      <c r="O13" s="46">
        <f>'ต.ค.63'!N13</f>
        <v>2</v>
      </c>
      <c r="P13" s="72">
        <v>10013495.85</v>
      </c>
      <c r="Q13" s="53">
        <v>10114399.67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2.4300000000000002</v>
      </c>
      <c r="E14" s="56">
        <v>2.2999999999999998</v>
      </c>
      <c r="F14" s="47">
        <v>1.72</v>
      </c>
      <c r="G14" s="47">
        <f t="shared" si="0"/>
        <v>0</v>
      </c>
      <c r="H14" s="53">
        <v>22279427.75</v>
      </c>
      <c r="I14" s="53">
        <v>12551453.369999999</v>
      </c>
      <c r="J14" s="47">
        <f t="shared" si="1"/>
        <v>0</v>
      </c>
      <c r="K14" s="51">
        <f t="shared" si="2"/>
        <v>6275726.6849999996</v>
      </c>
      <c r="L14" s="45">
        <f t="shared" si="4"/>
        <v>3.5500952906778798</v>
      </c>
      <c r="M14" s="43">
        <f t="shared" si="5"/>
        <v>0</v>
      </c>
      <c r="N14" s="46">
        <f t="shared" si="3"/>
        <v>0</v>
      </c>
      <c r="O14" s="46">
        <f>'ต.ค.63'!N14</f>
        <v>1</v>
      </c>
      <c r="P14" s="72">
        <v>13155149.890000001</v>
      </c>
      <c r="Q14" s="53">
        <v>11186823.560000001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56">
        <v>3.3</v>
      </c>
      <c r="E15" s="47">
        <v>2.99</v>
      </c>
      <c r="F15" s="47">
        <v>2.4700000000000002</v>
      </c>
      <c r="G15" s="47">
        <f t="shared" si="0"/>
        <v>0</v>
      </c>
      <c r="H15" s="53">
        <v>30412449.940000001</v>
      </c>
      <c r="I15" s="53">
        <v>12872203.449999999</v>
      </c>
      <c r="J15" s="47">
        <f t="shared" si="1"/>
        <v>0</v>
      </c>
      <c r="K15" s="51">
        <f t="shared" si="2"/>
        <v>6436101.7249999996</v>
      </c>
      <c r="L15" s="45">
        <f t="shared" si="4"/>
        <v>4.7252904381339631</v>
      </c>
      <c r="M15" s="43">
        <f t="shared" si="5"/>
        <v>0</v>
      </c>
      <c r="N15" s="46">
        <f t="shared" si="3"/>
        <v>0</v>
      </c>
      <c r="O15" s="46">
        <f>'ต.ค.63'!N15</f>
        <v>0</v>
      </c>
      <c r="P15" s="72">
        <v>12045322.310000001</v>
      </c>
      <c r="Q15" s="53">
        <v>19419279.32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3.75</v>
      </c>
      <c r="E16" s="47">
        <v>3.07</v>
      </c>
      <c r="F16" s="47">
        <v>2.69</v>
      </c>
      <c r="G16" s="47">
        <f t="shared" si="0"/>
        <v>0</v>
      </c>
      <c r="H16" s="53">
        <v>70548672.430000007</v>
      </c>
      <c r="I16" s="54">
        <v>31578072.059999999</v>
      </c>
      <c r="J16" s="47">
        <f t="shared" si="1"/>
        <v>0</v>
      </c>
      <c r="K16" s="51">
        <f t="shared" si="2"/>
        <v>15789036.029999999</v>
      </c>
      <c r="L16" s="45">
        <f t="shared" si="4"/>
        <v>4.4682064374261872</v>
      </c>
      <c r="M16" s="43">
        <f t="shared" si="5"/>
        <v>0</v>
      </c>
      <c r="N16" s="46">
        <f t="shared" si="3"/>
        <v>0</v>
      </c>
      <c r="O16" s="46">
        <f>'ต.ค.63'!N16</f>
        <v>0</v>
      </c>
      <c r="P16" s="72">
        <v>21446619.579999998</v>
      </c>
      <c r="Q16" s="53">
        <v>43280459.549999997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3.06</v>
      </c>
      <c r="E17" s="47">
        <v>2.75</v>
      </c>
      <c r="F17" s="47">
        <v>2.5099999999999998</v>
      </c>
      <c r="G17" s="47">
        <f t="shared" si="0"/>
        <v>0</v>
      </c>
      <c r="H17" s="53">
        <v>10322394.060000001</v>
      </c>
      <c r="I17" s="54">
        <v>5366993.7300000004</v>
      </c>
      <c r="J17" s="47">
        <f t="shared" si="1"/>
        <v>0</v>
      </c>
      <c r="K17" s="51">
        <f t="shared" si="2"/>
        <v>2683496.8650000002</v>
      </c>
      <c r="L17" s="45">
        <f t="shared" si="4"/>
        <v>3.8466205027595586</v>
      </c>
      <c r="M17" s="43">
        <f t="shared" si="5"/>
        <v>0</v>
      </c>
      <c r="N17" s="46">
        <f t="shared" si="3"/>
        <v>0</v>
      </c>
      <c r="O17" s="46">
        <f>'ต.ค.63'!N17</f>
        <v>2</v>
      </c>
      <c r="P17" s="72">
        <v>5844369.9100000001</v>
      </c>
      <c r="Q17" s="53">
        <v>7572886.8099999996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1.85</v>
      </c>
      <c r="E18" s="47">
        <v>1.65</v>
      </c>
      <c r="F18" s="47">
        <v>1.21</v>
      </c>
      <c r="G18" s="47">
        <f t="shared" si="0"/>
        <v>0</v>
      </c>
      <c r="H18" s="53">
        <v>16485042.890000001</v>
      </c>
      <c r="I18" s="53">
        <v>10317911.310000001</v>
      </c>
      <c r="J18" s="47">
        <f t="shared" si="1"/>
        <v>0</v>
      </c>
      <c r="K18" s="51">
        <f t="shared" si="2"/>
        <v>5158955.6550000003</v>
      </c>
      <c r="L18" s="45">
        <f t="shared" si="4"/>
        <v>3.1954224832351268</v>
      </c>
      <c r="M18" s="47">
        <f t="shared" si="5"/>
        <v>0</v>
      </c>
      <c r="N18" s="46">
        <f t="shared" si="3"/>
        <v>0</v>
      </c>
      <c r="O18" s="46">
        <f>'ต.ค.63'!N18</f>
        <v>5</v>
      </c>
      <c r="P18" s="72">
        <v>11559115.189999999</v>
      </c>
      <c r="Q18" s="53">
        <v>4004627.28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70">
        <v>1.4</v>
      </c>
      <c r="E19" s="47">
        <v>1.27</v>
      </c>
      <c r="F19" s="47">
        <v>0.98</v>
      </c>
      <c r="G19" s="42">
        <f t="shared" si="0"/>
        <v>1</v>
      </c>
      <c r="H19" s="53">
        <v>6042834.1799999997</v>
      </c>
      <c r="I19" s="53">
        <v>3318129.36</v>
      </c>
      <c r="J19" s="47">
        <f t="shared" si="1"/>
        <v>0</v>
      </c>
      <c r="K19" s="51">
        <f t="shared" si="2"/>
        <v>1659064.68</v>
      </c>
      <c r="L19" s="45">
        <f t="shared" si="4"/>
        <v>3.6423138005686431</v>
      </c>
      <c r="M19" s="47">
        <f t="shared" si="5"/>
        <v>0</v>
      </c>
      <c r="N19" s="46">
        <f t="shared" si="3"/>
        <v>1</v>
      </c>
      <c r="O19" s="46">
        <f>'ต.ค.63'!N19</f>
        <v>7</v>
      </c>
      <c r="P19" s="72">
        <v>5109859.46</v>
      </c>
      <c r="Q19" s="64">
        <v>-360789.67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2.69</v>
      </c>
      <c r="E20" s="47">
        <v>2.4900000000000002</v>
      </c>
      <c r="F20" s="47">
        <v>2.0299999999999998</v>
      </c>
      <c r="G20" s="47">
        <f t="shared" si="0"/>
        <v>0</v>
      </c>
      <c r="H20" s="53">
        <v>11407941.1</v>
      </c>
      <c r="I20" s="53">
        <v>4704940.03</v>
      </c>
      <c r="J20" s="47">
        <f t="shared" si="1"/>
        <v>0</v>
      </c>
      <c r="K20" s="51">
        <f t="shared" si="2"/>
        <v>2352470.0150000001</v>
      </c>
      <c r="L20" s="45">
        <f t="shared" si="4"/>
        <v>4.8493460181255488</v>
      </c>
      <c r="M20" s="43">
        <f t="shared" si="5"/>
        <v>0</v>
      </c>
      <c r="N20" s="46">
        <f t="shared" si="3"/>
        <v>0</v>
      </c>
      <c r="O20" s="46">
        <f>'ต.ค.63'!N20</f>
        <v>1</v>
      </c>
      <c r="P20" s="72">
        <v>5355501.03</v>
      </c>
      <c r="Q20" s="53">
        <v>6933261.4699999997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5" t="s">
        <v>5</v>
      </c>
      <c r="M23" s="115"/>
      <c r="N23" s="11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5"/>
      <c r="M24" s="115"/>
      <c r="N24" s="11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5" t="s">
        <v>5</v>
      </c>
      <c r="M25" s="115"/>
      <c r="N25" s="11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5"/>
      <c r="M26" s="115"/>
      <c r="N26" s="11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6" t="s">
        <v>5</v>
      </c>
      <c r="L27" s="116"/>
      <c r="M27" s="52"/>
      <c r="N27" s="5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5" t="s">
        <v>5</v>
      </c>
      <c r="M30" s="115"/>
      <c r="N30" s="11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5"/>
      <c r="M31" s="115"/>
      <c r="N31" s="11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U2" sqref="AU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3" t="s">
        <v>63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65" t="s">
        <v>53</v>
      </c>
      <c r="P1" s="66">
        <v>242537</v>
      </c>
      <c r="Q1" s="41"/>
    </row>
    <row r="2" spans="1:25" ht="54.75" customHeight="1" thickBot="1" x14ac:dyDescent="0.3">
      <c r="C2" s="147" t="s">
        <v>41</v>
      </c>
      <c r="D2" s="154" t="s">
        <v>40</v>
      </c>
      <c r="E2" s="154"/>
      <c r="F2" s="154"/>
      <c r="G2" s="154"/>
      <c r="H2" s="155" t="s">
        <v>39</v>
      </c>
      <c r="I2" s="155"/>
      <c r="J2" s="155"/>
      <c r="K2" s="156" t="s">
        <v>38</v>
      </c>
      <c r="L2" s="156"/>
      <c r="M2" s="156"/>
      <c r="N2" s="157" t="s">
        <v>64</v>
      </c>
      <c r="O2" s="142" t="s">
        <v>65</v>
      </c>
      <c r="P2" s="143" t="s">
        <v>56</v>
      </c>
      <c r="Q2" s="143" t="s">
        <v>37</v>
      </c>
    </row>
    <row r="3" spans="1:25" ht="38.25" customHeight="1" thickBot="1" x14ac:dyDescent="0.3">
      <c r="C3" s="147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47" t="s">
        <v>32</v>
      </c>
      <c r="J3" s="148" t="s">
        <v>29</v>
      </c>
      <c r="K3" s="149" t="s">
        <v>31</v>
      </c>
      <c r="L3" s="147" t="s">
        <v>30</v>
      </c>
      <c r="M3" s="158" t="s">
        <v>29</v>
      </c>
      <c r="N3" s="157"/>
      <c r="O3" s="142"/>
      <c r="P3" s="143"/>
      <c r="Q3" s="143"/>
    </row>
    <row r="4" spans="1:25" ht="36.75" customHeight="1" thickBot="1" x14ac:dyDescent="0.3">
      <c r="C4" s="159"/>
      <c r="D4" s="163"/>
      <c r="E4" s="163"/>
      <c r="F4" s="163"/>
      <c r="G4" s="164"/>
      <c r="H4" s="165"/>
      <c r="I4" s="159"/>
      <c r="J4" s="166"/>
      <c r="K4" s="167"/>
      <c r="L4" s="159"/>
      <c r="M4" s="161"/>
      <c r="N4" s="160"/>
      <c r="O4" s="150"/>
      <c r="P4" s="162"/>
      <c r="Q4" s="16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2.31</v>
      </c>
      <c r="E5" s="47">
        <v>2.17</v>
      </c>
      <c r="F5" s="47">
        <v>0.87</v>
      </c>
      <c r="G5" s="47">
        <f t="shared" ref="G5:G20" si="0">(IF(D5&lt;1.5,1,0))+(IF(E5&lt;1,1,0))+(IF(F5&lt;0.8,1,0))</f>
        <v>0</v>
      </c>
      <c r="H5" s="53">
        <v>448060008.02999997</v>
      </c>
      <c r="I5" s="53">
        <v>81514785.079999998</v>
      </c>
      <c r="J5" s="47">
        <f t="shared" ref="J5:J20" si="1">IF(I5&lt;0,1,0)+IF(H5&lt;0,1,0)</f>
        <v>0</v>
      </c>
      <c r="K5" s="51">
        <f t="shared" ref="K5:K17" si="2">SUM(I5/3)</f>
        <v>27171595.026666667</v>
      </c>
      <c r="L5" s="45">
        <f>+H5/K5</f>
        <v>16.490014943556542</v>
      </c>
      <c r="M5" s="43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0</v>
      </c>
      <c r="O5" s="46">
        <f>'พ.ย.63'!N5</f>
        <v>0</v>
      </c>
      <c r="P5" s="72">
        <v>104507434.31</v>
      </c>
      <c r="Q5" s="64">
        <v>-45861274.520000003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1.04</v>
      </c>
      <c r="E6" s="42">
        <v>0.97</v>
      </c>
      <c r="F6" s="42">
        <v>0.62</v>
      </c>
      <c r="G6" s="55">
        <f t="shared" si="0"/>
        <v>3</v>
      </c>
      <c r="H6" s="53">
        <v>6712747.3899999997</v>
      </c>
      <c r="I6" s="53">
        <v>30272409.82</v>
      </c>
      <c r="J6" s="63">
        <f>IF(I6&lt;0,1,0)+IF(H6&lt;0,1,0)</f>
        <v>0</v>
      </c>
      <c r="K6" s="51">
        <f t="shared" si="2"/>
        <v>10090803.273333333</v>
      </c>
      <c r="L6" s="45">
        <f>+H6/K6</f>
        <v>0.6652341947582685</v>
      </c>
      <c r="M6" s="43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3</v>
      </c>
      <c r="O6" s="46">
        <f>'พ.ย.63'!N6</f>
        <v>2</v>
      </c>
      <c r="P6" s="72">
        <v>41640206.890000001</v>
      </c>
      <c r="Q6" s="64">
        <v>-62262187.490000002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1.69</v>
      </c>
      <c r="E7" s="47">
        <v>1.54</v>
      </c>
      <c r="F7" s="47">
        <v>1.21</v>
      </c>
      <c r="G7" s="47">
        <f t="shared" si="0"/>
        <v>0</v>
      </c>
      <c r="H7" s="53">
        <v>16334697.460000001</v>
      </c>
      <c r="I7" s="53">
        <v>6905529.79</v>
      </c>
      <c r="J7" s="47">
        <f t="shared" si="1"/>
        <v>0</v>
      </c>
      <c r="K7" s="51">
        <f t="shared" si="2"/>
        <v>2301843.2633333332</v>
      </c>
      <c r="L7" s="45">
        <f t="shared" ref="L7:L20" si="5">+H7/K7</f>
        <v>7.096355221139377</v>
      </c>
      <c r="M7" s="43">
        <f t="shared" si="4"/>
        <v>0</v>
      </c>
      <c r="N7" s="46">
        <f t="shared" si="3"/>
        <v>0</v>
      </c>
      <c r="O7" s="46">
        <f>'พ.ย.63'!N7</f>
        <v>0</v>
      </c>
      <c r="P7" s="72">
        <v>7713945.9900000002</v>
      </c>
      <c r="Q7" s="53">
        <v>4915083.91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2.65</v>
      </c>
      <c r="E8" s="47">
        <v>2.3199999999999998</v>
      </c>
      <c r="F8" s="47">
        <v>1.82</v>
      </c>
      <c r="G8" s="63">
        <f t="shared" si="0"/>
        <v>0</v>
      </c>
      <c r="H8" s="53">
        <v>18841156.129999999</v>
      </c>
      <c r="I8" s="53">
        <v>7466860.04</v>
      </c>
      <c r="J8" s="63">
        <f t="shared" si="1"/>
        <v>0</v>
      </c>
      <c r="K8" s="51">
        <f t="shared" si="2"/>
        <v>2488953.3466666667</v>
      </c>
      <c r="L8" s="45">
        <f t="shared" si="5"/>
        <v>7.569911326475057</v>
      </c>
      <c r="M8" s="43">
        <f t="shared" si="4"/>
        <v>0</v>
      </c>
      <c r="N8" s="46">
        <f t="shared" si="3"/>
        <v>0</v>
      </c>
      <c r="O8" s="46">
        <f>'พ.ย.63'!N8</f>
        <v>0</v>
      </c>
      <c r="P8" s="72">
        <v>9494703.5999999996</v>
      </c>
      <c r="Q8" s="53">
        <v>9404149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2.02</v>
      </c>
      <c r="E9" s="47">
        <v>1.82</v>
      </c>
      <c r="F9" s="47">
        <v>1.53</v>
      </c>
      <c r="G9" s="47">
        <f t="shared" si="0"/>
        <v>0</v>
      </c>
      <c r="H9" s="53">
        <v>19948075.02</v>
      </c>
      <c r="I9" s="53">
        <v>6589064.1699999999</v>
      </c>
      <c r="J9" s="47">
        <f t="shared" si="1"/>
        <v>0</v>
      </c>
      <c r="K9" s="51">
        <f t="shared" si="2"/>
        <v>2196354.7233333332</v>
      </c>
      <c r="L9" s="45">
        <f t="shared" si="5"/>
        <v>9.0823557816405369</v>
      </c>
      <c r="M9" s="43">
        <f t="shared" si="4"/>
        <v>0</v>
      </c>
      <c r="N9" s="46">
        <f t="shared" si="3"/>
        <v>0</v>
      </c>
      <c r="O9" s="46">
        <f>'พ.ย.63'!N9</f>
        <v>0</v>
      </c>
      <c r="P9" s="72">
        <v>7882497.0999999996</v>
      </c>
      <c r="Q9" s="53">
        <v>10333276.34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1.63</v>
      </c>
      <c r="E10" s="56">
        <v>1.5</v>
      </c>
      <c r="F10" s="56">
        <v>1.3</v>
      </c>
      <c r="G10" s="47">
        <f t="shared" si="0"/>
        <v>0</v>
      </c>
      <c r="H10" s="53">
        <v>10572388.41</v>
      </c>
      <c r="I10" s="53">
        <v>5119216.74</v>
      </c>
      <c r="J10" s="47">
        <f t="shared" si="1"/>
        <v>0</v>
      </c>
      <c r="K10" s="51">
        <f t="shared" si="2"/>
        <v>1706405.58</v>
      </c>
      <c r="L10" s="45">
        <f t="shared" si="5"/>
        <v>6.1957066560928613</v>
      </c>
      <c r="M10" s="43">
        <f t="shared" si="4"/>
        <v>0</v>
      </c>
      <c r="N10" s="46">
        <f t="shared" si="3"/>
        <v>0</v>
      </c>
      <c r="O10" s="46">
        <f>'พ.ย.63'!N10</f>
        <v>0</v>
      </c>
      <c r="P10" s="72">
        <v>5809869.1500000004</v>
      </c>
      <c r="Q10" s="53">
        <v>4956803.21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68">
        <v>1.28</v>
      </c>
      <c r="E11" s="47">
        <v>1.1299999999999999</v>
      </c>
      <c r="F11" s="56">
        <v>0.8</v>
      </c>
      <c r="G11" s="68">
        <f t="shared" si="0"/>
        <v>1</v>
      </c>
      <c r="H11" s="53">
        <v>17731318.609999999</v>
      </c>
      <c r="I11" s="53">
        <v>9041701.6699999999</v>
      </c>
      <c r="J11" s="47">
        <f t="shared" si="1"/>
        <v>0</v>
      </c>
      <c r="K11" s="51">
        <f t="shared" si="2"/>
        <v>3013900.5566666666</v>
      </c>
      <c r="L11" s="45">
        <f t="shared" si="5"/>
        <v>5.8831797123427982</v>
      </c>
      <c r="M11" s="43">
        <f t="shared" si="4"/>
        <v>0</v>
      </c>
      <c r="N11" s="46">
        <f t="shared" si="3"/>
        <v>1</v>
      </c>
      <c r="O11" s="46">
        <f>'พ.ย.63'!N11</f>
        <v>1</v>
      </c>
      <c r="P11" s="72">
        <v>12892040.51</v>
      </c>
      <c r="Q11" s="69">
        <v>-12822393.800000001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1.54</v>
      </c>
      <c r="E12" s="47">
        <v>1.35</v>
      </c>
      <c r="F12" s="47">
        <v>1.01</v>
      </c>
      <c r="G12" s="47">
        <f t="shared" si="0"/>
        <v>0</v>
      </c>
      <c r="H12" s="53">
        <v>16494412.91</v>
      </c>
      <c r="I12" s="53">
        <v>7820006.1299999999</v>
      </c>
      <c r="J12" s="47">
        <f t="shared" si="1"/>
        <v>0</v>
      </c>
      <c r="K12" s="51">
        <f t="shared" si="2"/>
        <v>2606668.71</v>
      </c>
      <c r="L12" s="45">
        <f t="shared" si="5"/>
        <v>6.3277749284833362</v>
      </c>
      <c r="M12" s="43">
        <f t="shared" si="4"/>
        <v>0</v>
      </c>
      <c r="N12" s="46">
        <f t="shared" si="3"/>
        <v>0</v>
      </c>
      <c r="O12" s="46">
        <f>'พ.ย.63'!N12</f>
        <v>0</v>
      </c>
      <c r="P12" s="72">
        <v>8412504.9000000004</v>
      </c>
      <c r="Q12" s="53">
        <v>336895.59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1.67</v>
      </c>
      <c r="E13" s="47">
        <v>1.58</v>
      </c>
      <c r="F13" s="47">
        <v>1.37</v>
      </c>
      <c r="G13" s="47">
        <f t="shared" si="0"/>
        <v>0</v>
      </c>
      <c r="H13" s="53">
        <v>15182277.43</v>
      </c>
      <c r="I13" s="53">
        <v>6958015.9900000002</v>
      </c>
      <c r="J13" s="47">
        <f t="shared" si="1"/>
        <v>0</v>
      </c>
      <c r="K13" s="51">
        <f t="shared" si="2"/>
        <v>2319338.6633333336</v>
      </c>
      <c r="L13" s="45">
        <f t="shared" si="5"/>
        <v>6.5459510808051471</v>
      </c>
      <c r="M13" s="43">
        <f t="shared" si="4"/>
        <v>0</v>
      </c>
      <c r="N13" s="46">
        <f t="shared" si="3"/>
        <v>0</v>
      </c>
      <c r="O13" s="46">
        <f>'พ.ย.63'!N13</f>
        <v>0</v>
      </c>
      <c r="P13" s="72">
        <v>8519649.2699999996</v>
      </c>
      <c r="Q13" s="53">
        <v>8209333.4500000002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2.36</v>
      </c>
      <c r="E14" s="47">
        <v>2.1800000000000002</v>
      </c>
      <c r="F14" s="47">
        <v>1.58</v>
      </c>
      <c r="G14" s="47">
        <f t="shared" si="0"/>
        <v>0</v>
      </c>
      <c r="H14" s="53">
        <v>21016632.57</v>
      </c>
      <c r="I14" s="53">
        <v>11373742.869999999</v>
      </c>
      <c r="J14" s="47">
        <f t="shared" si="1"/>
        <v>0</v>
      </c>
      <c r="K14" s="51">
        <f t="shared" si="2"/>
        <v>3791247.6233333331</v>
      </c>
      <c r="L14" s="45">
        <f t="shared" si="5"/>
        <v>5.5434607965601046</v>
      </c>
      <c r="M14" s="43">
        <f t="shared" si="4"/>
        <v>0</v>
      </c>
      <c r="N14" s="46">
        <f t="shared" si="3"/>
        <v>0</v>
      </c>
      <c r="O14" s="46">
        <f>'พ.ย.63'!N14</f>
        <v>0</v>
      </c>
      <c r="P14" s="72">
        <v>12279287.65</v>
      </c>
      <c r="Q14" s="53">
        <v>8979709.5800000001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3.27</v>
      </c>
      <c r="E15" s="47">
        <v>2.95</v>
      </c>
      <c r="F15" s="47">
        <v>2.4300000000000002</v>
      </c>
      <c r="G15" s="47">
        <f t="shared" si="0"/>
        <v>0</v>
      </c>
      <c r="H15" s="53">
        <v>28374835.899999999</v>
      </c>
      <c r="I15" s="53">
        <v>10475506.92</v>
      </c>
      <c r="J15" s="47">
        <f t="shared" si="1"/>
        <v>0</v>
      </c>
      <c r="K15" s="51">
        <f t="shared" si="2"/>
        <v>3491835.64</v>
      </c>
      <c r="L15" s="45">
        <f t="shared" si="5"/>
        <v>8.1260514025797619</v>
      </c>
      <c r="M15" s="43">
        <f t="shared" si="4"/>
        <v>0</v>
      </c>
      <c r="N15" s="46">
        <f t="shared" si="3"/>
        <v>0</v>
      </c>
      <c r="O15" s="46">
        <f>'พ.ย.63'!N15</f>
        <v>0</v>
      </c>
      <c r="P15" s="72">
        <v>10188409.91</v>
      </c>
      <c r="Q15" s="53">
        <v>17876664.289999999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3.82</v>
      </c>
      <c r="E16" s="47">
        <v>3.11</v>
      </c>
      <c r="F16" s="47">
        <v>2.74</v>
      </c>
      <c r="G16" s="47">
        <f t="shared" si="0"/>
        <v>0</v>
      </c>
      <c r="H16" s="53">
        <v>65522957.340000004</v>
      </c>
      <c r="I16" s="53">
        <v>30073820.699999999</v>
      </c>
      <c r="J16" s="47">
        <f t="shared" si="1"/>
        <v>0</v>
      </c>
      <c r="K16" s="51">
        <f t="shared" si="2"/>
        <v>10024606.9</v>
      </c>
      <c r="L16" s="45">
        <f t="shared" si="5"/>
        <v>6.5362121421439481</v>
      </c>
      <c r="M16" s="43">
        <f t="shared" si="4"/>
        <v>0</v>
      </c>
      <c r="N16" s="46">
        <f t="shared" si="3"/>
        <v>0</v>
      </c>
      <c r="O16" s="46">
        <f>'พ.ย.63'!N16</f>
        <v>0</v>
      </c>
      <c r="P16" s="72">
        <v>20786930.899999999</v>
      </c>
      <c r="Q16" s="53">
        <v>40414527.780000001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2.82</v>
      </c>
      <c r="E17" s="47">
        <v>2.52</v>
      </c>
      <c r="F17" s="47">
        <v>2.29</v>
      </c>
      <c r="G17" s="47">
        <f t="shared" si="0"/>
        <v>0</v>
      </c>
      <c r="H17" s="53">
        <v>9141426.8000000007</v>
      </c>
      <c r="I17" s="53">
        <v>3781115.46</v>
      </c>
      <c r="J17" s="47">
        <f t="shared" si="1"/>
        <v>0</v>
      </c>
      <c r="K17" s="51">
        <f t="shared" si="2"/>
        <v>1260371.82</v>
      </c>
      <c r="L17" s="45">
        <f t="shared" si="5"/>
        <v>7.252960320867853</v>
      </c>
      <c r="M17" s="43">
        <f t="shared" si="4"/>
        <v>0</v>
      </c>
      <c r="N17" s="46">
        <f t="shared" si="3"/>
        <v>0</v>
      </c>
      <c r="O17" s="46">
        <f>'พ.ย.63'!N17</f>
        <v>0</v>
      </c>
      <c r="P17" s="72">
        <v>4483652.6500000004</v>
      </c>
      <c r="Q17" s="53">
        <v>6452728.2300000004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1.77</v>
      </c>
      <c r="E18" s="47">
        <v>1.58</v>
      </c>
      <c r="F18" s="47">
        <v>1.1200000000000001</v>
      </c>
      <c r="G18" s="47">
        <f t="shared" si="0"/>
        <v>0</v>
      </c>
      <c r="H18" s="53">
        <v>14595334.369999999</v>
      </c>
      <c r="I18" s="53">
        <v>8011090.7300000004</v>
      </c>
      <c r="J18" s="47">
        <f t="shared" si="1"/>
        <v>0</v>
      </c>
      <c r="K18" s="51">
        <f>SUM(I18/3)</f>
        <v>2670363.5766666667</v>
      </c>
      <c r="L18" s="45">
        <f t="shared" si="5"/>
        <v>5.4656731006715233</v>
      </c>
      <c r="M18" s="43">
        <f t="shared" si="4"/>
        <v>0</v>
      </c>
      <c r="N18" s="46">
        <f t="shared" si="3"/>
        <v>0</v>
      </c>
      <c r="O18" s="46">
        <f>'พ.ย.63'!N18</f>
        <v>0</v>
      </c>
      <c r="P18" s="72">
        <v>9872896.3900000006</v>
      </c>
      <c r="Q18" s="53">
        <v>2323264.9300000002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68">
        <v>1.37</v>
      </c>
      <c r="E19" s="47">
        <v>1.21</v>
      </c>
      <c r="F19" s="47">
        <v>0.88</v>
      </c>
      <c r="G19" s="68">
        <f t="shared" si="0"/>
        <v>1</v>
      </c>
      <c r="H19" s="53">
        <v>5543818.1900000004</v>
      </c>
      <c r="I19" s="53">
        <v>2694433.56</v>
      </c>
      <c r="J19" s="47">
        <f t="shared" si="1"/>
        <v>0</v>
      </c>
      <c r="K19" s="51">
        <f>SUM(I19/3)</f>
        <v>898144.52</v>
      </c>
      <c r="L19" s="45">
        <f t="shared" si="5"/>
        <v>6.1725235377486918</v>
      </c>
      <c r="M19" s="43">
        <f t="shared" si="4"/>
        <v>0</v>
      </c>
      <c r="N19" s="46">
        <f t="shared" si="3"/>
        <v>1</v>
      </c>
      <c r="O19" s="46">
        <f>'พ.ย.63'!N19</f>
        <v>1</v>
      </c>
      <c r="P19" s="72">
        <v>4834674.22</v>
      </c>
      <c r="Q19" s="69">
        <v>-1721038.57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>
        <v>2.7</v>
      </c>
      <c r="E20" s="47">
        <v>2.44</v>
      </c>
      <c r="F20" s="47">
        <v>1.94</v>
      </c>
      <c r="G20" s="47">
        <f t="shared" si="0"/>
        <v>0</v>
      </c>
      <c r="H20" s="53">
        <v>10353036.119999999</v>
      </c>
      <c r="I20" s="53">
        <v>3323684.57</v>
      </c>
      <c r="J20" s="47">
        <f t="shared" si="1"/>
        <v>0</v>
      </c>
      <c r="K20" s="44">
        <f>SUM(I20/3)</f>
        <v>1107894.8566666667</v>
      </c>
      <c r="L20" s="45">
        <f t="shared" si="5"/>
        <v>9.3447821855128677</v>
      </c>
      <c r="M20" s="43">
        <f t="shared" si="4"/>
        <v>0</v>
      </c>
      <c r="N20" s="46">
        <f t="shared" si="3"/>
        <v>0</v>
      </c>
      <c r="O20" s="46">
        <f>'พ.ย.63'!N20</f>
        <v>0</v>
      </c>
      <c r="P20" s="72">
        <v>4300508.57</v>
      </c>
      <c r="Q20" s="53">
        <v>5736451.8399999999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5" t="s">
        <v>5</v>
      </c>
      <c r="M23" s="115"/>
      <c r="N23" s="11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5"/>
      <c r="M24" s="115"/>
      <c r="N24" s="11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5" t="s">
        <v>5</v>
      </c>
      <c r="M25" s="115"/>
      <c r="N25" s="11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5"/>
      <c r="M26" s="115"/>
      <c r="N26" s="11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6" t="s">
        <v>5</v>
      </c>
      <c r="L27" s="116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5" t="s">
        <v>5</v>
      </c>
      <c r="M30" s="115"/>
      <c r="N30" s="11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5"/>
      <c r="M31" s="115"/>
      <c r="N31" s="11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6" sqref="H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3" t="s">
        <v>66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65" t="s">
        <v>53</v>
      </c>
      <c r="P1" s="66">
        <v>242539</v>
      </c>
      <c r="Q1" s="41"/>
    </row>
    <row r="2" spans="1:25" ht="54.75" customHeight="1" thickBot="1" x14ac:dyDescent="0.3">
      <c r="C2" s="168" t="s">
        <v>41</v>
      </c>
      <c r="D2" s="169" t="s">
        <v>40</v>
      </c>
      <c r="E2" s="169"/>
      <c r="F2" s="169"/>
      <c r="G2" s="169"/>
      <c r="H2" s="170" t="s">
        <v>39</v>
      </c>
      <c r="I2" s="170"/>
      <c r="J2" s="170"/>
      <c r="K2" s="171" t="s">
        <v>38</v>
      </c>
      <c r="L2" s="171"/>
      <c r="M2" s="171"/>
      <c r="N2" s="172" t="s">
        <v>67</v>
      </c>
      <c r="O2" s="179" t="s">
        <v>68</v>
      </c>
      <c r="P2" s="179" t="s">
        <v>56</v>
      </c>
      <c r="Q2" s="174" t="s">
        <v>37</v>
      </c>
    </row>
    <row r="3" spans="1:25" ht="38.25" customHeight="1" thickBot="1" x14ac:dyDescent="0.3">
      <c r="C3" s="168"/>
      <c r="D3" s="168" t="s">
        <v>36</v>
      </c>
      <c r="E3" s="168" t="s">
        <v>35</v>
      </c>
      <c r="F3" s="168" t="s">
        <v>34</v>
      </c>
      <c r="G3" s="175" t="s">
        <v>29</v>
      </c>
      <c r="H3" s="176" t="s">
        <v>33</v>
      </c>
      <c r="I3" s="168" t="s">
        <v>32</v>
      </c>
      <c r="J3" s="177" t="s">
        <v>29</v>
      </c>
      <c r="K3" s="178" t="s">
        <v>31</v>
      </c>
      <c r="L3" s="168" t="s">
        <v>30</v>
      </c>
      <c r="M3" s="173" t="s">
        <v>29</v>
      </c>
      <c r="N3" s="172"/>
      <c r="O3" s="179"/>
      <c r="P3" s="179"/>
      <c r="Q3" s="174"/>
    </row>
    <row r="4" spans="1:25" ht="36.75" customHeight="1" thickBot="1" x14ac:dyDescent="0.3">
      <c r="C4" s="168"/>
      <c r="D4" s="168"/>
      <c r="E4" s="168"/>
      <c r="F4" s="168"/>
      <c r="G4" s="175"/>
      <c r="H4" s="176"/>
      <c r="I4" s="168"/>
      <c r="J4" s="177"/>
      <c r="K4" s="178"/>
      <c r="L4" s="168"/>
      <c r="M4" s="173"/>
      <c r="N4" s="172"/>
      <c r="O4" s="179"/>
      <c r="P4" s="179"/>
      <c r="Q4" s="17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80" t="s">
        <v>28</v>
      </c>
      <c r="D5" s="84">
        <v>2.4300000000000002</v>
      </c>
      <c r="E5" s="84">
        <v>2.2599999999999998</v>
      </c>
      <c r="F5" s="84">
        <v>0.85</v>
      </c>
      <c r="G5" s="84">
        <f t="shared" ref="G5:G20" si="0">(IF(D5&lt;1.5,1,0))+(IF(E5&lt;1,1,0))+(IF(F5&lt;0.8,1,0))</f>
        <v>0</v>
      </c>
      <c r="H5" s="85">
        <v>468524264.61000001</v>
      </c>
      <c r="I5" s="85">
        <v>109629907.87</v>
      </c>
      <c r="J5" s="84">
        <f t="shared" ref="J5:J20" si="1">IF(I5&lt;0,1,0)+IF(H5&lt;0,1,0)</f>
        <v>0</v>
      </c>
      <c r="K5" s="86">
        <f t="shared" ref="K5:K20" si="2">SUM(I5/4)</f>
        <v>27407476.967500001</v>
      </c>
      <c r="L5" s="87">
        <f>+H5/K5</f>
        <v>17.094760862722961</v>
      </c>
      <c r="M5" s="88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89">
        <f t="shared" ref="N5:N20" si="3">SUM(G5+J5+M5)</f>
        <v>0</v>
      </c>
      <c r="O5" s="89">
        <f>'ธ.ค.63'!N5</f>
        <v>0</v>
      </c>
      <c r="P5" s="93">
        <v>127272639.98</v>
      </c>
      <c r="Q5" s="83">
        <v>-47635563.420000002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80" t="s">
        <v>27</v>
      </c>
      <c r="D6" s="82">
        <v>1.08</v>
      </c>
      <c r="E6" s="91">
        <v>1</v>
      </c>
      <c r="F6" s="82">
        <v>0.68</v>
      </c>
      <c r="G6" s="90">
        <v>2</v>
      </c>
      <c r="H6" s="85">
        <v>12503385.09</v>
      </c>
      <c r="I6" s="85">
        <v>33017667.559999999</v>
      </c>
      <c r="J6" s="92">
        <f>IF(I6&lt;0,1,0)+IF(H6&lt;0,1,0)</f>
        <v>0</v>
      </c>
      <c r="K6" s="86">
        <f t="shared" si="2"/>
        <v>8254416.8899999997</v>
      </c>
      <c r="L6" s="87">
        <f>+H6/K6</f>
        <v>1.5147508608569926</v>
      </c>
      <c r="M6" s="84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0</v>
      </c>
      <c r="N6" s="89">
        <f>SUM(G6+J6+M6)</f>
        <v>2</v>
      </c>
      <c r="O6" s="89">
        <f>'ธ.ค.63'!N6</f>
        <v>3</v>
      </c>
      <c r="P6" s="93">
        <v>43222008.869999997</v>
      </c>
      <c r="Q6" s="83">
        <v>-50711049.439999998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80" t="s">
        <v>26</v>
      </c>
      <c r="D7" s="84">
        <v>1.75</v>
      </c>
      <c r="E7" s="84">
        <v>1.57</v>
      </c>
      <c r="F7" s="84">
        <v>1.27</v>
      </c>
      <c r="G7" s="84">
        <f t="shared" si="0"/>
        <v>0</v>
      </c>
      <c r="H7" s="85">
        <v>18894854.359999999</v>
      </c>
      <c r="I7" s="85">
        <v>12496988.98</v>
      </c>
      <c r="J7" s="84">
        <f t="shared" si="1"/>
        <v>0</v>
      </c>
      <c r="K7" s="86">
        <f t="shared" si="2"/>
        <v>3124247.2450000001</v>
      </c>
      <c r="L7" s="87">
        <f t="shared" ref="L7:L20" si="5">+H7/K7</f>
        <v>6.0478102013978088</v>
      </c>
      <c r="M7" s="88">
        <f t="shared" si="4"/>
        <v>0</v>
      </c>
      <c r="N7" s="89">
        <f t="shared" si="3"/>
        <v>0</v>
      </c>
      <c r="O7" s="89">
        <f>'ธ.ค.63'!N7</f>
        <v>0</v>
      </c>
      <c r="P7" s="93">
        <v>11738995.130000001</v>
      </c>
      <c r="Q7" s="85">
        <v>6804650.8899999997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80" t="s">
        <v>25</v>
      </c>
      <c r="D8" s="91">
        <v>2.7</v>
      </c>
      <c r="E8" s="84">
        <v>2.4300000000000002</v>
      </c>
      <c r="F8" s="91">
        <v>2</v>
      </c>
      <c r="G8" s="92">
        <f t="shared" si="0"/>
        <v>0</v>
      </c>
      <c r="H8" s="85">
        <v>22134891.5</v>
      </c>
      <c r="I8" s="85">
        <v>9961499.7100000009</v>
      </c>
      <c r="J8" s="92">
        <f t="shared" si="1"/>
        <v>0</v>
      </c>
      <c r="K8" s="86">
        <f t="shared" si="2"/>
        <v>2490374.9275000002</v>
      </c>
      <c r="L8" s="87">
        <f t="shared" si="5"/>
        <v>8.8881763366532276</v>
      </c>
      <c r="M8" s="88">
        <f t="shared" si="4"/>
        <v>0</v>
      </c>
      <c r="N8" s="89">
        <f t="shared" si="3"/>
        <v>0</v>
      </c>
      <c r="O8" s="89">
        <f>'ธ.ค.63'!N8</f>
        <v>0</v>
      </c>
      <c r="P8" s="93">
        <v>11105037.859999999</v>
      </c>
      <c r="Q8" s="85">
        <v>12964644.279999999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80" t="s">
        <v>24</v>
      </c>
      <c r="D9" s="84">
        <v>2.12</v>
      </c>
      <c r="E9" s="84">
        <v>1.89</v>
      </c>
      <c r="F9" s="84">
        <v>1.61</v>
      </c>
      <c r="G9" s="84">
        <f t="shared" si="0"/>
        <v>0</v>
      </c>
      <c r="H9" s="85">
        <v>23243844.010000002</v>
      </c>
      <c r="I9" s="85">
        <v>7354044.8700000001</v>
      </c>
      <c r="J9" s="84">
        <f t="shared" si="1"/>
        <v>0</v>
      </c>
      <c r="K9" s="86">
        <f t="shared" si="2"/>
        <v>1838511.2175</v>
      </c>
      <c r="L9" s="87">
        <f t="shared" si="5"/>
        <v>12.642753434818246</v>
      </c>
      <c r="M9" s="88">
        <f t="shared" si="4"/>
        <v>0</v>
      </c>
      <c r="N9" s="89">
        <f t="shared" si="3"/>
        <v>0</v>
      </c>
      <c r="O9" s="89">
        <f>'ธ.ค.63'!N9</f>
        <v>0</v>
      </c>
      <c r="P9" s="93">
        <v>9078622.1099999994</v>
      </c>
      <c r="Q9" s="85">
        <v>12603620.92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81" t="s">
        <v>23</v>
      </c>
      <c r="D10" s="82">
        <v>1.48</v>
      </c>
      <c r="E10" s="84">
        <v>1.37</v>
      </c>
      <c r="F10" s="84">
        <v>1.23</v>
      </c>
      <c r="G10" s="82">
        <f t="shared" si="0"/>
        <v>1</v>
      </c>
      <c r="H10" s="85">
        <v>9811216</v>
      </c>
      <c r="I10" s="85">
        <v>6326736.1799999997</v>
      </c>
      <c r="J10" s="84">
        <f t="shared" si="1"/>
        <v>0</v>
      </c>
      <c r="K10" s="86">
        <f t="shared" si="2"/>
        <v>1581684.0449999999</v>
      </c>
      <c r="L10" s="87">
        <f t="shared" si="5"/>
        <v>6.2030188842171698</v>
      </c>
      <c r="M10" s="88">
        <f t="shared" si="4"/>
        <v>0</v>
      </c>
      <c r="N10" s="89">
        <f t="shared" si="3"/>
        <v>1</v>
      </c>
      <c r="O10" s="89">
        <f>'ธ.ค.63'!N10</f>
        <v>0</v>
      </c>
      <c r="P10" s="93">
        <v>4552618.7300000004</v>
      </c>
      <c r="Q10" s="85">
        <v>4568531.4000000004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81" t="s">
        <v>22</v>
      </c>
      <c r="D11" s="82">
        <v>1.38</v>
      </c>
      <c r="E11" s="84">
        <v>1.23</v>
      </c>
      <c r="F11" s="84">
        <v>0.92</v>
      </c>
      <c r="G11" s="82">
        <f t="shared" si="0"/>
        <v>1</v>
      </c>
      <c r="H11" s="85">
        <v>24448821.300000001</v>
      </c>
      <c r="I11" s="85">
        <v>15301453.369999999</v>
      </c>
      <c r="J11" s="84">
        <f t="shared" si="1"/>
        <v>0</v>
      </c>
      <c r="K11" s="86">
        <f t="shared" si="2"/>
        <v>3825363.3424999998</v>
      </c>
      <c r="L11" s="87">
        <f t="shared" si="5"/>
        <v>6.3912415922357582</v>
      </c>
      <c r="M11" s="88">
        <f t="shared" si="4"/>
        <v>0</v>
      </c>
      <c r="N11" s="89">
        <f t="shared" si="3"/>
        <v>1</v>
      </c>
      <c r="O11" s="89">
        <f>'ธ.ค.63'!N11</f>
        <v>1</v>
      </c>
      <c r="P11" s="93">
        <v>18256337.68</v>
      </c>
      <c r="Q11" s="83">
        <v>-5409152.8099999996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81" t="s">
        <v>21</v>
      </c>
      <c r="D12" s="82">
        <v>1.38</v>
      </c>
      <c r="E12" s="84">
        <v>1.19</v>
      </c>
      <c r="F12" s="84">
        <v>0.88</v>
      </c>
      <c r="G12" s="82">
        <f t="shared" si="0"/>
        <v>1</v>
      </c>
      <c r="H12" s="85">
        <v>11538941.73</v>
      </c>
      <c r="I12" s="85">
        <v>5672163.1200000001</v>
      </c>
      <c r="J12" s="84">
        <f t="shared" si="1"/>
        <v>0</v>
      </c>
      <c r="K12" s="86">
        <f t="shared" si="2"/>
        <v>1418040.78</v>
      </c>
      <c r="L12" s="87">
        <f t="shared" si="5"/>
        <v>8.1372425199224523</v>
      </c>
      <c r="M12" s="88">
        <f t="shared" si="4"/>
        <v>0</v>
      </c>
      <c r="N12" s="89">
        <f t="shared" si="3"/>
        <v>1</v>
      </c>
      <c r="O12" s="89">
        <f>'ธ.ค.63'!N12</f>
        <v>0</v>
      </c>
      <c r="P12" s="93">
        <v>4752647.8499999996</v>
      </c>
      <c r="Q12" s="83">
        <v>-3703638.55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81" t="s">
        <v>20</v>
      </c>
      <c r="D13" s="84">
        <v>1.74</v>
      </c>
      <c r="E13" s="84">
        <v>1.63</v>
      </c>
      <c r="F13" s="84">
        <v>1.38</v>
      </c>
      <c r="G13" s="84">
        <f t="shared" si="0"/>
        <v>0</v>
      </c>
      <c r="H13" s="85">
        <v>15357882.68</v>
      </c>
      <c r="I13" s="85">
        <v>7043431.3099999996</v>
      </c>
      <c r="J13" s="84">
        <f t="shared" si="1"/>
        <v>0</v>
      </c>
      <c r="K13" s="86">
        <f t="shared" si="2"/>
        <v>1760857.8274999999</v>
      </c>
      <c r="L13" s="87">
        <f t="shared" si="5"/>
        <v>8.7218186727798166</v>
      </c>
      <c r="M13" s="88">
        <f t="shared" si="4"/>
        <v>0</v>
      </c>
      <c r="N13" s="89">
        <f t="shared" si="3"/>
        <v>0</v>
      </c>
      <c r="O13" s="89">
        <f>'ธ.ค.63'!N13</f>
        <v>0</v>
      </c>
      <c r="P13" s="93">
        <v>7693513.1500000004</v>
      </c>
      <c r="Q13" s="85">
        <v>7637311.7800000003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81" t="s">
        <v>19</v>
      </c>
      <c r="D14" s="91">
        <v>2.2999999999999998</v>
      </c>
      <c r="E14" s="84">
        <v>2.14</v>
      </c>
      <c r="F14" s="84">
        <v>1.63</v>
      </c>
      <c r="G14" s="84">
        <f t="shared" si="0"/>
        <v>0</v>
      </c>
      <c r="H14" s="85">
        <v>23095586.93</v>
      </c>
      <c r="I14" s="85">
        <v>14554338.33</v>
      </c>
      <c r="J14" s="84">
        <f t="shared" si="1"/>
        <v>0</v>
      </c>
      <c r="K14" s="86">
        <f t="shared" si="2"/>
        <v>3638584.5825</v>
      </c>
      <c r="L14" s="87">
        <f t="shared" si="5"/>
        <v>6.347409660635531</v>
      </c>
      <c r="M14" s="88">
        <f t="shared" si="4"/>
        <v>0</v>
      </c>
      <c r="N14" s="89">
        <f t="shared" si="3"/>
        <v>0</v>
      </c>
      <c r="O14" s="89">
        <f>'ธ.ค.63'!N14</f>
        <v>0</v>
      </c>
      <c r="P14" s="93">
        <v>14136727.01</v>
      </c>
      <c r="Q14" s="85">
        <v>11099662.630000001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81" t="s">
        <v>18</v>
      </c>
      <c r="D15" s="84">
        <v>3.03</v>
      </c>
      <c r="E15" s="84">
        <v>2.72</v>
      </c>
      <c r="F15" s="84">
        <v>2.37</v>
      </c>
      <c r="G15" s="84">
        <f t="shared" si="0"/>
        <v>0</v>
      </c>
      <c r="H15" s="85">
        <v>30114535.100000001</v>
      </c>
      <c r="I15" s="85">
        <v>12704944.460000001</v>
      </c>
      <c r="J15" s="84">
        <f t="shared" si="1"/>
        <v>0</v>
      </c>
      <c r="K15" s="86">
        <f t="shared" si="2"/>
        <v>3176236.1150000002</v>
      </c>
      <c r="L15" s="87">
        <f t="shared" si="5"/>
        <v>9.4812016517858897</v>
      </c>
      <c r="M15" s="88">
        <f t="shared" si="4"/>
        <v>0</v>
      </c>
      <c r="N15" s="89">
        <f t="shared" si="3"/>
        <v>0</v>
      </c>
      <c r="O15" s="89">
        <f>'ธ.ค.63'!N15</f>
        <v>0</v>
      </c>
      <c r="P15" s="93">
        <v>11416753.74</v>
      </c>
      <c r="Q15" s="85">
        <v>20342358.539999999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81" t="s">
        <v>17</v>
      </c>
      <c r="D16" s="84">
        <v>4.12</v>
      </c>
      <c r="E16" s="84">
        <v>3.34</v>
      </c>
      <c r="F16" s="84">
        <v>2.98</v>
      </c>
      <c r="G16" s="84">
        <f t="shared" si="0"/>
        <v>0</v>
      </c>
      <c r="H16" s="85">
        <v>70623673.390000001</v>
      </c>
      <c r="I16" s="85">
        <v>38120236</v>
      </c>
      <c r="J16" s="84">
        <f t="shared" si="1"/>
        <v>0</v>
      </c>
      <c r="K16" s="86">
        <f t="shared" si="2"/>
        <v>9530059</v>
      </c>
      <c r="L16" s="87">
        <f t="shared" si="5"/>
        <v>7.4106228922612125</v>
      </c>
      <c r="M16" s="88">
        <f t="shared" si="4"/>
        <v>0</v>
      </c>
      <c r="N16" s="89">
        <f t="shared" si="3"/>
        <v>0</v>
      </c>
      <c r="O16" s="89">
        <f>'ธ.ค.63'!N16</f>
        <v>0</v>
      </c>
      <c r="P16" s="93">
        <v>27045213.27</v>
      </c>
      <c r="Q16" s="85">
        <v>44749905.369999997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81" t="s">
        <v>16</v>
      </c>
      <c r="D17" s="91">
        <v>2.8</v>
      </c>
      <c r="E17" s="84">
        <v>2.5299999999999998</v>
      </c>
      <c r="F17" s="84">
        <v>2.33</v>
      </c>
      <c r="G17" s="84">
        <f t="shared" si="0"/>
        <v>0</v>
      </c>
      <c r="H17" s="85">
        <v>10013141.039999999</v>
      </c>
      <c r="I17" s="85">
        <v>5395587.0899999999</v>
      </c>
      <c r="J17" s="84">
        <f t="shared" si="1"/>
        <v>0</v>
      </c>
      <c r="K17" s="86">
        <f t="shared" si="2"/>
        <v>1348896.7725</v>
      </c>
      <c r="L17" s="87">
        <f t="shared" si="5"/>
        <v>7.423207797763486</v>
      </c>
      <c r="M17" s="88">
        <f t="shared" si="4"/>
        <v>0</v>
      </c>
      <c r="N17" s="89">
        <f t="shared" si="3"/>
        <v>0</v>
      </c>
      <c r="O17" s="89">
        <f>'ธ.ค.63'!N17</f>
        <v>0</v>
      </c>
      <c r="P17" s="93">
        <v>5480236.2300000004</v>
      </c>
      <c r="Q17" s="85">
        <v>7383383.8499999996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81" t="s">
        <v>15</v>
      </c>
      <c r="D18" s="84">
        <v>1.89</v>
      </c>
      <c r="E18" s="91">
        <v>1.7</v>
      </c>
      <c r="F18" s="84">
        <v>1.33</v>
      </c>
      <c r="G18" s="84">
        <f t="shared" si="0"/>
        <v>0</v>
      </c>
      <c r="H18" s="85">
        <v>18577329.43</v>
      </c>
      <c r="I18" s="85">
        <v>10727972.74</v>
      </c>
      <c r="J18" s="84">
        <f t="shared" si="1"/>
        <v>0</v>
      </c>
      <c r="K18" s="86">
        <f t="shared" si="2"/>
        <v>2681993.1850000001</v>
      </c>
      <c r="L18" s="87">
        <f t="shared" si="5"/>
        <v>6.9266877835112766</v>
      </c>
      <c r="M18" s="88">
        <f t="shared" si="4"/>
        <v>0</v>
      </c>
      <c r="N18" s="89">
        <f t="shared" si="3"/>
        <v>0</v>
      </c>
      <c r="O18" s="89">
        <f>'ธ.ค.63'!N18</f>
        <v>0</v>
      </c>
      <c r="P18" s="93">
        <v>11310048.83</v>
      </c>
      <c r="Q18" s="85">
        <v>6903405.75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81" t="s">
        <v>14</v>
      </c>
      <c r="D19" s="84">
        <v>1.52</v>
      </c>
      <c r="E19" s="84">
        <v>1.36</v>
      </c>
      <c r="F19" s="84">
        <v>1.05</v>
      </c>
      <c r="G19" s="84">
        <f t="shared" si="0"/>
        <v>0</v>
      </c>
      <c r="H19" s="85">
        <v>7842480.9500000002</v>
      </c>
      <c r="I19" s="85">
        <v>4927183.67</v>
      </c>
      <c r="J19" s="84">
        <f t="shared" si="1"/>
        <v>0</v>
      </c>
      <c r="K19" s="86">
        <f t="shared" si="2"/>
        <v>1231795.9175</v>
      </c>
      <c r="L19" s="87">
        <f t="shared" si="5"/>
        <v>6.3667047751844823</v>
      </c>
      <c r="M19" s="88">
        <f t="shared" si="4"/>
        <v>0</v>
      </c>
      <c r="N19" s="89">
        <f t="shared" si="3"/>
        <v>0</v>
      </c>
      <c r="O19" s="89">
        <f>'ธ.ค.63'!N19</f>
        <v>1</v>
      </c>
      <c r="P19" s="93">
        <v>6447767.3099999996</v>
      </c>
      <c r="Q19" s="85">
        <v>818277.09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80" t="s">
        <v>13</v>
      </c>
      <c r="D20" s="84">
        <v>2.66</v>
      </c>
      <c r="E20" s="84">
        <v>2.44</v>
      </c>
      <c r="F20" s="84">
        <v>2.06</v>
      </c>
      <c r="G20" s="84">
        <f t="shared" si="0"/>
        <v>0</v>
      </c>
      <c r="H20" s="85">
        <v>10777862.189999999</v>
      </c>
      <c r="I20" s="85">
        <v>3939773.75</v>
      </c>
      <c r="J20" s="84">
        <f t="shared" si="1"/>
        <v>0</v>
      </c>
      <c r="K20" s="86">
        <f t="shared" si="2"/>
        <v>984943.4375</v>
      </c>
      <c r="L20" s="87">
        <f t="shared" si="5"/>
        <v>10.942620438546756</v>
      </c>
      <c r="M20" s="88">
        <f t="shared" si="4"/>
        <v>0</v>
      </c>
      <c r="N20" s="89">
        <f t="shared" si="3"/>
        <v>0</v>
      </c>
      <c r="O20" s="89">
        <f>'ธ.ค.63'!N20</f>
        <v>0</v>
      </c>
      <c r="P20" s="93">
        <v>4846138.7699999996</v>
      </c>
      <c r="Q20" s="85">
        <v>6893652.2199999997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79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78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5" t="s">
        <v>5</v>
      </c>
      <c r="M23" s="115"/>
      <c r="N23" s="11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5"/>
      <c r="M24" s="115"/>
      <c r="N24" s="11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5" t="s">
        <v>5</v>
      </c>
      <c r="M25" s="115"/>
      <c r="N25" s="11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5"/>
      <c r="M26" s="115"/>
      <c r="N26" s="11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6" t="s">
        <v>5</v>
      </c>
      <c r="L27" s="116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5" t="s">
        <v>5</v>
      </c>
      <c r="M30" s="115"/>
      <c r="N30" s="11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5"/>
      <c r="M31" s="115"/>
      <c r="N31" s="11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5" sqref="P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3" t="s">
        <v>69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P1" s="71" t="s">
        <v>53</v>
      </c>
      <c r="Q1" s="41">
        <v>44271</v>
      </c>
    </row>
    <row r="2" spans="1:25" ht="54.75" customHeight="1" thickBot="1" x14ac:dyDescent="0.3">
      <c r="C2" s="147" t="s">
        <v>41</v>
      </c>
      <c r="D2" s="154" t="s">
        <v>40</v>
      </c>
      <c r="E2" s="154"/>
      <c r="F2" s="154"/>
      <c r="G2" s="154"/>
      <c r="H2" s="155" t="s">
        <v>39</v>
      </c>
      <c r="I2" s="155"/>
      <c r="J2" s="155"/>
      <c r="K2" s="156" t="s">
        <v>38</v>
      </c>
      <c r="L2" s="156"/>
      <c r="M2" s="156"/>
      <c r="N2" s="157" t="s">
        <v>70</v>
      </c>
      <c r="O2" s="142" t="s">
        <v>71</v>
      </c>
      <c r="P2" s="150" t="s">
        <v>56</v>
      </c>
      <c r="Q2" s="143" t="s">
        <v>37</v>
      </c>
    </row>
    <row r="3" spans="1:25" ht="38.25" customHeight="1" thickBot="1" x14ac:dyDescent="0.3">
      <c r="C3" s="147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47" t="s">
        <v>32</v>
      </c>
      <c r="J3" s="148" t="s">
        <v>29</v>
      </c>
      <c r="K3" s="149" t="s">
        <v>31</v>
      </c>
      <c r="L3" s="147" t="s">
        <v>30</v>
      </c>
      <c r="M3" s="158" t="s">
        <v>29</v>
      </c>
      <c r="N3" s="157"/>
      <c r="O3" s="142"/>
      <c r="P3" s="151"/>
      <c r="Q3" s="143"/>
    </row>
    <row r="4" spans="1:25" ht="36.75" customHeight="1" thickBot="1" x14ac:dyDescent="0.3">
      <c r="C4" s="147"/>
      <c r="D4" s="144"/>
      <c r="E4" s="144"/>
      <c r="F4" s="144"/>
      <c r="G4" s="145"/>
      <c r="H4" s="146"/>
      <c r="I4" s="147"/>
      <c r="J4" s="148"/>
      <c r="K4" s="149"/>
      <c r="L4" s="147"/>
      <c r="M4" s="158"/>
      <c r="N4" s="157"/>
      <c r="O4" s="142"/>
      <c r="P4" s="152"/>
      <c r="Q4" s="14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2.4900000000000002</v>
      </c>
      <c r="E5" s="47">
        <v>2.33</v>
      </c>
      <c r="F5" s="47">
        <v>0.91</v>
      </c>
      <c r="G5" s="47">
        <f t="shared" ref="G5:G20" si="0">(IF(D5&lt;1.5,1,0))+(IF(E5&lt;1,1,0))+(IF(F5&lt;0.8,1,0))</f>
        <v>0</v>
      </c>
      <c r="H5" s="53">
        <v>484489257.44</v>
      </c>
      <c r="I5" s="53">
        <v>122443836.12</v>
      </c>
      <c r="J5" s="47">
        <f t="shared" ref="J5:J20" si="1">IF(I5&lt;0,1,0)+IF(H5&lt;0,1,0)</f>
        <v>0</v>
      </c>
      <c r="K5" s="51">
        <f t="shared" ref="K5:K20" si="2">SUM(I5/5)</f>
        <v>24488767.223999999</v>
      </c>
      <c r="L5" s="45">
        <f>+H5/K5</f>
        <v>19.784142378762969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0</v>
      </c>
      <c r="O5" s="46">
        <f>'ม.ค.64'!N5</f>
        <v>0</v>
      </c>
      <c r="P5" s="72">
        <v>147730536.06</v>
      </c>
      <c r="Q5" s="64">
        <v>-27896843.789999999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1.05</v>
      </c>
      <c r="E6" s="42">
        <v>0.98</v>
      </c>
      <c r="F6" s="42">
        <v>0.67</v>
      </c>
      <c r="G6" s="55">
        <f t="shared" si="0"/>
        <v>3</v>
      </c>
      <c r="H6" s="53">
        <v>7488434.2199999997</v>
      </c>
      <c r="I6" s="53">
        <v>29740089.649999999</v>
      </c>
      <c r="J6" s="63">
        <f>IF(I6&lt;0,1,0)+IF(H6&lt;0,1,0)</f>
        <v>0</v>
      </c>
      <c r="K6" s="51">
        <f t="shared" si="2"/>
        <v>5948017.9299999997</v>
      </c>
      <c r="L6" s="45">
        <f>+H6/K6</f>
        <v>1.2589797657183592</v>
      </c>
      <c r="M6" s="47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3</v>
      </c>
      <c r="O6" s="46">
        <f>'ม.ค.64'!N6</f>
        <v>2</v>
      </c>
      <c r="P6" s="72">
        <v>43607068.299999997</v>
      </c>
      <c r="Q6" s="64">
        <v>-51761977.210000001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56">
        <v>1.8</v>
      </c>
      <c r="E7" s="47">
        <v>1.61</v>
      </c>
      <c r="F7" s="47">
        <v>1.29</v>
      </c>
      <c r="G7" s="47">
        <f t="shared" si="0"/>
        <v>0</v>
      </c>
      <c r="H7" s="53">
        <v>20190352.25</v>
      </c>
      <c r="I7" s="53">
        <v>14142090.18</v>
      </c>
      <c r="J7" s="47">
        <f t="shared" si="1"/>
        <v>0</v>
      </c>
      <c r="K7" s="51">
        <f t="shared" si="2"/>
        <v>2828418.0359999998</v>
      </c>
      <c r="L7" s="45">
        <f t="shared" ref="L7:L20" si="5">+H7/K7</f>
        <v>7.1383904334571291</v>
      </c>
      <c r="M7" s="43">
        <f t="shared" si="4"/>
        <v>0</v>
      </c>
      <c r="N7" s="46">
        <f t="shared" si="3"/>
        <v>0</v>
      </c>
      <c r="O7" s="46">
        <f>'ม.ค.64'!N7</f>
        <v>0</v>
      </c>
      <c r="P7" s="72">
        <v>13653457.289999999</v>
      </c>
      <c r="Q7" s="53">
        <v>7276984.3600000003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2.85</v>
      </c>
      <c r="E8" s="47">
        <v>2.4500000000000002</v>
      </c>
      <c r="F8" s="47">
        <v>1.92</v>
      </c>
      <c r="G8" s="63">
        <f t="shared" si="0"/>
        <v>0</v>
      </c>
      <c r="H8" s="53">
        <v>22052131.359999999</v>
      </c>
      <c r="I8" s="53">
        <v>10715174.5</v>
      </c>
      <c r="J8" s="63">
        <f t="shared" si="1"/>
        <v>0</v>
      </c>
      <c r="K8" s="51">
        <f t="shared" si="2"/>
        <v>2143034.9</v>
      </c>
      <c r="L8" s="45">
        <f t="shared" si="5"/>
        <v>10.290141033167496</v>
      </c>
      <c r="M8" s="43">
        <f t="shared" si="4"/>
        <v>0</v>
      </c>
      <c r="N8" s="46">
        <f t="shared" si="3"/>
        <v>0</v>
      </c>
      <c r="O8" s="46">
        <f>'ม.ค.64'!N8</f>
        <v>0</v>
      </c>
      <c r="P8" s="72">
        <v>12559551.73</v>
      </c>
      <c r="Q8" s="53">
        <v>10937052.07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2.0699999999999998</v>
      </c>
      <c r="E9" s="47">
        <v>1.86</v>
      </c>
      <c r="F9" s="47">
        <v>1.66</v>
      </c>
      <c r="G9" s="47">
        <f t="shared" si="0"/>
        <v>0</v>
      </c>
      <c r="H9" s="53">
        <v>24319058.91</v>
      </c>
      <c r="I9" s="53">
        <v>9752992.1999999993</v>
      </c>
      <c r="J9" s="47">
        <f t="shared" si="1"/>
        <v>0</v>
      </c>
      <c r="K9" s="51">
        <f t="shared" si="2"/>
        <v>1950598.44</v>
      </c>
      <c r="L9" s="45">
        <f t="shared" si="5"/>
        <v>12.467486085962419</v>
      </c>
      <c r="M9" s="43">
        <f t="shared" si="4"/>
        <v>0</v>
      </c>
      <c r="N9" s="46">
        <f t="shared" si="3"/>
        <v>0</v>
      </c>
      <c r="O9" s="46">
        <f>'ม.ค.64'!N9</f>
        <v>0</v>
      </c>
      <c r="P9" s="72">
        <v>11653713.75</v>
      </c>
      <c r="Q9" s="53">
        <v>15015060.41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1.54</v>
      </c>
      <c r="E10" s="47">
        <v>1.43</v>
      </c>
      <c r="F10" s="47">
        <v>1.29</v>
      </c>
      <c r="G10" s="47">
        <f t="shared" si="0"/>
        <v>0</v>
      </c>
      <c r="H10" s="53">
        <v>11344149.390000001</v>
      </c>
      <c r="I10" s="53">
        <v>7720514.3300000001</v>
      </c>
      <c r="J10" s="47">
        <f t="shared" si="1"/>
        <v>0</v>
      </c>
      <c r="K10" s="51">
        <f t="shared" si="2"/>
        <v>1544102.8659999999</v>
      </c>
      <c r="L10" s="45">
        <f t="shared" si="5"/>
        <v>7.3467575508016711</v>
      </c>
      <c r="M10" s="43">
        <f t="shared" si="4"/>
        <v>0</v>
      </c>
      <c r="N10" s="46">
        <f t="shared" si="3"/>
        <v>0</v>
      </c>
      <c r="O10" s="46">
        <f>'ม.ค.64'!N10</f>
        <v>1</v>
      </c>
      <c r="P10" s="72">
        <v>6172042.1200000001</v>
      </c>
      <c r="Q10" s="53">
        <v>5947573.3600000003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1.56</v>
      </c>
      <c r="E11" s="47">
        <v>1.38</v>
      </c>
      <c r="F11" s="47">
        <v>1.06</v>
      </c>
      <c r="G11" s="47">
        <f t="shared" si="0"/>
        <v>0</v>
      </c>
      <c r="H11" s="53">
        <v>33459395.43</v>
      </c>
      <c r="I11" s="53">
        <v>20649110.739999998</v>
      </c>
      <c r="J11" s="47">
        <f t="shared" si="1"/>
        <v>0</v>
      </c>
      <c r="K11" s="51">
        <f t="shared" si="2"/>
        <v>4129822.1479999996</v>
      </c>
      <c r="L11" s="45">
        <f t="shared" si="5"/>
        <v>8.1018974258259036</v>
      </c>
      <c r="M11" s="43">
        <f t="shared" si="4"/>
        <v>0</v>
      </c>
      <c r="N11" s="46">
        <f t="shared" si="3"/>
        <v>0</v>
      </c>
      <c r="O11" s="46">
        <f>'ม.ค.64'!N11</f>
        <v>1</v>
      </c>
      <c r="P11" s="72">
        <v>25096485.59</v>
      </c>
      <c r="Q11" s="53">
        <v>2948761.03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>
        <v>1.49</v>
      </c>
      <c r="E12" s="47">
        <v>1.29</v>
      </c>
      <c r="F12" s="56">
        <v>1</v>
      </c>
      <c r="G12" s="42">
        <f t="shared" si="0"/>
        <v>1</v>
      </c>
      <c r="H12" s="53">
        <v>14502261.109999999</v>
      </c>
      <c r="I12" s="53">
        <v>8421901.1799999997</v>
      </c>
      <c r="J12" s="47">
        <f t="shared" si="1"/>
        <v>0</v>
      </c>
      <c r="K12" s="51">
        <f t="shared" si="2"/>
        <v>1684380.236</v>
      </c>
      <c r="L12" s="45">
        <f t="shared" si="5"/>
        <v>8.609849961454902</v>
      </c>
      <c r="M12" s="43">
        <f t="shared" si="4"/>
        <v>0</v>
      </c>
      <c r="N12" s="46">
        <f t="shared" si="3"/>
        <v>1</v>
      </c>
      <c r="O12" s="46">
        <f>'ม.ค.64'!N12</f>
        <v>1</v>
      </c>
      <c r="P12" s="72">
        <v>7735582.4299999997</v>
      </c>
      <c r="Q12" s="64">
        <v>-97145.93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56">
        <v>1.8</v>
      </c>
      <c r="E13" s="47">
        <v>1.64</v>
      </c>
      <c r="F13" s="47">
        <v>1.43</v>
      </c>
      <c r="G13" s="47">
        <f t="shared" si="0"/>
        <v>0</v>
      </c>
      <c r="H13" s="53">
        <v>18253000.739999998</v>
      </c>
      <c r="I13" s="53">
        <v>10481360.380000001</v>
      </c>
      <c r="J13" s="47">
        <f t="shared" si="1"/>
        <v>0</v>
      </c>
      <c r="K13" s="51">
        <f t="shared" si="2"/>
        <v>2096272.0760000001</v>
      </c>
      <c r="L13" s="45">
        <f t="shared" si="5"/>
        <v>8.707362440675853</v>
      </c>
      <c r="M13" s="43">
        <f t="shared" si="4"/>
        <v>0</v>
      </c>
      <c r="N13" s="46">
        <f t="shared" si="3"/>
        <v>0</v>
      </c>
      <c r="O13" s="46">
        <f>'ม.ค.64'!N13</f>
        <v>0</v>
      </c>
      <c r="P13" s="72">
        <v>11662081.210000001</v>
      </c>
      <c r="Q13" s="53">
        <v>9718682.0700000003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2.48</v>
      </c>
      <c r="E14" s="47">
        <v>2.29</v>
      </c>
      <c r="F14" s="47">
        <v>1.75</v>
      </c>
      <c r="G14" s="47">
        <f t="shared" si="0"/>
        <v>0</v>
      </c>
      <c r="H14" s="53">
        <v>26523599.530000001</v>
      </c>
      <c r="I14" s="53">
        <v>17915507.27</v>
      </c>
      <c r="J14" s="47">
        <f t="shared" si="1"/>
        <v>0</v>
      </c>
      <c r="K14" s="51">
        <f t="shared" si="2"/>
        <v>3583101.4539999999</v>
      </c>
      <c r="L14" s="45">
        <f t="shared" si="5"/>
        <v>7.4024137665402545</v>
      </c>
      <c r="M14" s="43">
        <f t="shared" si="4"/>
        <v>0</v>
      </c>
      <c r="N14" s="46">
        <f t="shared" si="3"/>
        <v>0</v>
      </c>
      <c r="O14" s="46">
        <f>'ม.ค.64'!N14</f>
        <v>0</v>
      </c>
      <c r="P14" s="72">
        <v>17799744.210000001</v>
      </c>
      <c r="Q14" s="53">
        <v>13438018.029999999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3.33</v>
      </c>
      <c r="E15" s="47">
        <v>3.03</v>
      </c>
      <c r="F15" s="47">
        <v>2.57</v>
      </c>
      <c r="G15" s="47">
        <f t="shared" si="0"/>
        <v>0</v>
      </c>
      <c r="H15" s="53">
        <v>33982740.270000003</v>
      </c>
      <c r="I15" s="53">
        <v>16636050.82</v>
      </c>
      <c r="J15" s="47">
        <f t="shared" si="1"/>
        <v>0</v>
      </c>
      <c r="K15" s="51">
        <f t="shared" si="2"/>
        <v>3327210.1639999999</v>
      </c>
      <c r="L15" s="45">
        <f t="shared" si="5"/>
        <v>10.213583932175078</v>
      </c>
      <c r="M15" s="43">
        <f t="shared" si="4"/>
        <v>0</v>
      </c>
      <c r="N15" s="46">
        <f t="shared" si="3"/>
        <v>0</v>
      </c>
      <c r="O15" s="46">
        <f>'ม.ค.64'!N15</f>
        <v>0</v>
      </c>
      <c r="P15" s="72">
        <v>15976028.23</v>
      </c>
      <c r="Q15" s="53">
        <v>22902228.550000001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4.91</v>
      </c>
      <c r="E16" s="47">
        <v>4.01</v>
      </c>
      <c r="F16" s="47">
        <v>3.56</v>
      </c>
      <c r="G16" s="47">
        <f t="shared" si="0"/>
        <v>0</v>
      </c>
      <c r="H16" s="53">
        <v>76364145.019999996</v>
      </c>
      <c r="I16" s="53">
        <v>43428549.049999997</v>
      </c>
      <c r="J16" s="47">
        <f t="shared" si="1"/>
        <v>0</v>
      </c>
      <c r="K16" s="51">
        <f t="shared" si="2"/>
        <v>8685709.8099999987</v>
      </c>
      <c r="L16" s="45">
        <f t="shared" si="5"/>
        <v>8.7919291215647934</v>
      </c>
      <c r="M16" s="43">
        <f t="shared" si="4"/>
        <v>0</v>
      </c>
      <c r="N16" s="46">
        <f t="shared" si="3"/>
        <v>0</v>
      </c>
      <c r="O16" s="46">
        <f>'ม.ค.64'!N16</f>
        <v>0</v>
      </c>
      <c r="P16" s="72">
        <v>33253393.390000001</v>
      </c>
      <c r="Q16" s="53">
        <v>50076146.299999997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2.69</v>
      </c>
      <c r="E17" s="47">
        <v>2.48</v>
      </c>
      <c r="F17" s="47">
        <v>2.29</v>
      </c>
      <c r="G17" s="47">
        <f t="shared" si="0"/>
        <v>0</v>
      </c>
      <c r="H17" s="53">
        <v>10872929.789999999</v>
      </c>
      <c r="I17" s="53">
        <v>6042500.4000000004</v>
      </c>
      <c r="J17" s="47">
        <f t="shared" si="1"/>
        <v>0</v>
      </c>
      <c r="K17" s="51">
        <f t="shared" si="2"/>
        <v>1208500.08</v>
      </c>
      <c r="L17" s="45">
        <f t="shared" si="5"/>
        <v>8.9970451553466173</v>
      </c>
      <c r="M17" s="43">
        <f t="shared" si="4"/>
        <v>0</v>
      </c>
      <c r="N17" s="46">
        <f t="shared" si="3"/>
        <v>0</v>
      </c>
      <c r="O17" s="46">
        <f>'ม.ค.64'!N17</f>
        <v>0</v>
      </c>
      <c r="P17" s="72">
        <v>6362524.9800000004</v>
      </c>
      <c r="Q17" s="53">
        <v>8296909.5099999998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1.85</v>
      </c>
      <c r="E18" s="47">
        <v>1.68</v>
      </c>
      <c r="F18" s="47">
        <v>1.28</v>
      </c>
      <c r="G18" s="47">
        <f t="shared" si="0"/>
        <v>0</v>
      </c>
      <c r="H18" s="53">
        <v>18126419.710000001</v>
      </c>
      <c r="I18" s="53">
        <v>12833208.84</v>
      </c>
      <c r="J18" s="47">
        <f t="shared" si="1"/>
        <v>0</v>
      </c>
      <c r="K18" s="51">
        <f t="shared" si="2"/>
        <v>2566641.7680000002</v>
      </c>
      <c r="L18" s="45">
        <f t="shared" si="5"/>
        <v>7.0623099553642108</v>
      </c>
      <c r="M18" s="43">
        <f t="shared" si="4"/>
        <v>0</v>
      </c>
      <c r="N18" s="46">
        <f t="shared" si="3"/>
        <v>0</v>
      </c>
      <c r="O18" s="46">
        <f>'ม.ค.64'!N18</f>
        <v>0</v>
      </c>
      <c r="P18" s="72">
        <v>14152297.91</v>
      </c>
      <c r="Q18" s="53">
        <v>5915021.0700000003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1.58</v>
      </c>
      <c r="E19" s="47">
        <v>1.39</v>
      </c>
      <c r="F19" s="56">
        <v>1</v>
      </c>
      <c r="G19" s="47">
        <f t="shared" si="0"/>
        <v>0</v>
      </c>
      <c r="H19" s="53">
        <v>7913327.8099999996</v>
      </c>
      <c r="I19" s="53">
        <v>5510478.7199999997</v>
      </c>
      <c r="J19" s="47">
        <f t="shared" si="1"/>
        <v>0</v>
      </c>
      <c r="K19" s="51">
        <f t="shared" si="2"/>
        <v>1102095.7439999999</v>
      </c>
      <c r="L19" s="45">
        <f t="shared" si="5"/>
        <v>7.1802543953930735</v>
      </c>
      <c r="M19" s="43">
        <f t="shared" si="4"/>
        <v>0</v>
      </c>
      <c r="N19" s="46">
        <f t="shared" si="3"/>
        <v>0</v>
      </c>
      <c r="O19" s="46">
        <f>'ม.ค.64'!N19</f>
        <v>0</v>
      </c>
      <c r="P19" s="72">
        <v>7379572.9199999999</v>
      </c>
      <c r="Q19" s="64">
        <v>-283532.62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2.75</v>
      </c>
      <c r="E20" s="47">
        <v>2.56</v>
      </c>
      <c r="F20" s="47">
        <v>2.19</v>
      </c>
      <c r="G20" s="47">
        <f t="shared" si="0"/>
        <v>0</v>
      </c>
      <c r="H20" s="53">
        <v>12063140.32</v>
      </c>
      <c r="I20" s="53">
        <v>5013175.0999999996</v>
      </c>
      <c r="J20" s="47">
        <f t="shared" si="1"/>
        <v>0</v>
      </c>
      <c r="K20" s="44">
        <f t="shared" si="2"/>
        <v>1002635.0199999999</v>
      </c>
      <c r="L20" s="45">
        <f t="shared" si="5"/>
        <v>12.03143724223796</v>
      </c>
      <c r="M20" s="43">
        <f t="shared" si="4"/>
        <v>0</v>
      </c>
      <c r="N20" s="46">
        <f t="shared" si="3"/>
        <v>0</v>
      </c>
      <c r="O20" s="46">
        <f>'ม.ค.64'!N20</f>
        <v>0</v>
      </c>
      <c r="P20" s="72">
        <v>6247067.1200000001</v>
      </c>
      <c r="Q20" s="53">
        <v>8045056.46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5" t="s">
        <v>5</v>
      </c>
      <c r="M23" s="115"/>
      <c r="N23" s="11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5"/>
      <c r="M24" s="115"/>
      <c r="N24" s="11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5" t="s">
        <v>5</v>
      </c>
      <c r="M25" s="115"/>
      <c r="N25" s="11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5"/>
      <c r="M26" s="115"/>
      <c r="N26" s="11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6" t="s">
        <v>5</v>
      </c>
      <c r="L27" s="116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5" t="s">
        <v>5</v>
      </c>
      <c r="M30" s="115"/>
      <c r="N30" s="11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5"/>
      <c r="M31" s="115"/>
      <c r="N31" s="11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J44"/>
  <sheetViews>
    <sheetView zoomScale="70" zoomScaleNormal="70" workbookViewId="0">
      <pane xSplit="3" ySplit="4" topLeftCell="D8" activePane="bottomRight" state="frozen"/>
      <selection activeCell="B1" sqref="B1"/>
      <selection pane="topRight" activeCell="D1" sqref="D1"/>
      <selection pane="bottomLeft" activeCell="B5" sqref="B5"/>
      <selection pane="bottomRight" activeCell="Q17" sqref="Q17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3" t="s">
        <v>72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P1" s="71" t="s">
        <v>53</v>
      </c>
      <c r="Q1" s="41">
        <v>44305</v>
      </c>
    </row>
    <row r="2" spans="1:25" ht="54.75" customHeight="1" thickBot="1" x14ac:dyDescent="0.3">
      <c r="C2" s="147" t="s">
        <v>41</v>
      </c>
      <c r="D2" s="154" t="s">
        <v>40</v>
      </c>
      <c r="E2" s="154"/>
      <c r="F2" s="154"/>
      <c r="G2" s="154"/>
      <c r="H2" s="155" t="s">
        <v>39</v>
      </c>
      <c r="I2" s="155"/>
      <c r="J2" s="155"/>
      <c r="K2" s="156" t="s">
        <v>38</v>
      </c>
      <c r="L2" s="156"/>
      <c r="M2" s="156"/>
      <c r="N2" s="157" t="s">
        <v>73</v>
      </c>
      <c r="O2" s="142" t="s">
        <v>74</v>
      </c>
      <c r="P2" s="150" t="s">
        <v>56</v>
      </c>
      <c r="Q2" s="143" t="s">
        <v>37</v>
      </c>
    </row>
    <row r="3" spans="1:25" ht="38.25" customHeight="1" thickBot="1" x14ac:dyDescent="0.3">
      <c r="C3" s="147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47" t="s">
        <v>32</v>
      </c>
      <c r="J3" s="148" t="s">
        <v>29</v>
      </c>
      <c r="K3" s="149" t="s">
        <v>31</v>
      </c>
      <c r="L3" s="147" t="s">
        <v>30</v>
      </c>
      <c r="M3" s="158" t="s">
        <v>29</v>
      </c>
      <c r="N3" s="157"/>
      <c r="O3" s="142"/>
      <c r="P3" s="151"/>
      <c r="Q3" s="143"/>
    </row>
    <row r="4" spans="1:25" ht="36.75" customHeight="1" thickBot="1" x14ac:dyDescent="0.3">
      <c r="C4" s="147"/>
      <c r="D4" s="144"/>
      <c r="E4" s="144"/>
      <c r="F4" s="144"/>
      <c r="G4" s="145"/>
      <c r="H4" s="146"/>
      <c r="I4" s="147"/>
      <c r="J4" s="148"/>
      <c r="K4" s="149"/>
      <c r="L4" s="147"/>
      <c r="M4" s="158"/>
      <c r="N4" s="157"/>
      <c r="O4" s="142"/>
      <c r="P4" s="152"/>
      <c r="Q4" s="14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2.69</v>
      </c>
      <c r="E5" s="47">
        <v>2.52</v>
      </c>
      <c r="F5" s="47">
        <v>0.89</v>
      </c>
      <c r="G5" s="47">
        <f t="shared" ref="G5:G20" si="0">(IF(D5&lt;1.5,1,0))+(IF(E5&lt;1,1,0))+(IF(F5&lt;0.8,1,0))</f>
        <v>0</v>
      </c>
      <c r="H5" s="53">
        <v>517712126.58999997</v>
      </c>
      <c r="I5" s="53">
        <v>153151280.33000001</v>
      </c>
      <c r="J5" s="47">
        <f t="shared" ref="J5:J20" si="1">IF(I5&lt;0,1,0)+IF(H5&lt;0,1,0)</f>
        <v>0</v>
      </c>
      <c r="K5" s="51">
        <f t="shared" ref="K5:K20" si="2">SUM(I5/6)</f>
        <v>25525213.388333336</v>
      </c>
      <c r="L5" s="45">
        <f>+H5/K5</f>
        <v>20.282381922285033</v>
      </c>
      <c r="M5" s="43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0</v>
      </c>
      <c r="O5" s="46">
        <f>'ก.พ.64'!N5</f>
        <v>0</v>
      </c>
      <c r="P5" s="72">
        <v>186081948.09999999</v>
      </c>
      <c r="Q5" s="64">
        <v>-34679878.140000001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1.06</v>
      </c>
      <c r="E6" s="42">
        <v>0.99</v>
      </c>
      <c r="F6" s="42">
        <v>0.63</v>
      </c>
      <c r="G6" s="55">
        <f t="shared" si="0"/>
        <v>3</v>
      </c>
      <c r="H6" s="53">
        <v>8222607.2000000002</v>
      </c>
      <c r="I6" s="53">
        <v>34614760.549999997</v>
      </c>
      <c r="J6" s="63">
        <f>IF(I6&lt;0,1,0)+IF(H6&lt;0,1,0)</f>
        <v>0</v>
      </c>
      <c r="K6" s="51">
        <f t="shared" si="2"/>
        <v>5769126.7583333328</v>
      </c>
      <c r="L6" s="45">
        <f>+H6/K6</f>
        <v>1.4252776103632474</v>
      </c>
      <c r="M6" s="47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3</v>
      </c>
      <c r="O6" s="46">
        <f>'ก.พ.64'!N6</f>
        <v>3</v>
      </c>
      <c r="P6" s="72">
        <v>45245476.539999999</v>
      </c>
      <c r="Q6" s="64">
        <v>-54722935.369999997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1.74</v>
      </c>
      <c r="E7" s="47">
        <v>1.57</v>
      </c>
      <c r="F7" s="47">
        <v>1.25</v>
      </c>
      <c r="G7" s="47">
        <f t="shared" si="0"/>
        <v>0</v>
      </c>
      <c r="H7" s="53">
        <v>18923032.129999999</v>
      </c>
      <c r="I7" s="53">
        <v>12695232.539999999</v>
      </c>
      <c r="J7" s="47">
        <f t="shared" si="1"/>
        <v>0</v>
      </c>
      <c r="K7" s="51">
        <f t="shared" si="2"/>
        <v>2115872.09</v>
      </c>
      <c r="L7" s="45">
        <f t="shared" ref="L7:L20" si="5">+H7/K7</f>
        <v>8.9433724370361158</v>
      </c>
      <c r="M7" s="43">
        <f t="shared" si="4"/>
        <v>0</v>
      </c>
      <c r="N7" s="46">
        <f t="shared" si="3"/>
        <v>0</v>
      </c>
      <c r="O7" s="46">
        <f>'ก.พ.64'!N7</f>
        <v>0</v>
      </c>
      <c r="P7" s="72">
        <v>12475960.609999999</v>
      </c>
      <c r="Q7" s="53">
        <v>6411602.71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56">
        <v>2.9</v>
      </c>
      <c r="E8" s="56">
        <v>2.6</v>
      </c>
      <c r="F8" s="47">
        <v>2.1800000000000002</v>
      </c>
      <c r="G8" s="63">
        <f t="shared" si="0"/>
        <v>0</v>
      </c>
      <c r="H8" s="53">
        <v>23906570.260000002</v>
      </c>
      <c r="I8" s="53">
        <v>11833357.970000001</v>
      </c>
      <c r="J8" s="63">
        <f t="shared" si="1"/>
        <v>0</v>
      </c>
      <c r="K8" s="51">
        <f t="shared" si="2"/>
        <v>1972226.3283333334</v>
      </c>
      <c r="L8" s="45">
        <f t="shared" si="5"/>
        <v>12.121616021728446</v>
      </c>
      <c r="M8" s="43">
        <f t="shared" si="4"/>
        <v>0</v>
      </c>
      <c r="N8" s="46">
        <f t="shared" si="3"/>
        <v>0</v>
      </c>
      <c r="O8" s="46">
        <f>'ก.พ.64'!N8</f>
        <v>0</v>
      </c>
      <c r="P8" s="72">
        <v>14480901.800000001</v>
      </c>
      <c r="Q8" s="53">
        <v>14770264.59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1.83</v>
      </c>
      <c r="E9" s="47">
        <v>1.64</v>
      </c>
      <c r="F9" s="47">
        <v>1.47</v>
      </c>
      <c r="G9" s="47">
        <f t="shared" si="0"/>
        <v>0</v>
      </c>
      <c r="H9" s="53">
        <v>20650820.149999999</v>
      </c>
      <c r="I9" s="53">
        <v>7731342.7300000004</v>
      </c>
      <c r="J9" s="47">
        <f t="shared" si="1"/>
        <v>0</v>
      </c>
      <c r="K9" s="51">
        <f t="shared" si="2"/>
        <v>1288557.1216666668</v>
      </c>
      <c r="L9" s="45">
        <f t="shared" si="5"/>
        <v>16.02631331026247</v>
      </c>
      <c r="M9" s="43">
        <f t="shared" si="4"/>
        <v>0</v>
      </c>
      <c r="N9" s="46">
        <f t="shared" si="3"/>
        <v>0</v>
      </c>
      <c r="O9" s="46">
        <f>'ก.พ.64'!N9</f>
        <v>0</v>
      </c>
      <c r="P9" s="72">
        <v>10063208.59</v>
      </c>
      <c r="Q9" s="53">
        <v>11690466.619999999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1.52</v>
      </c>
      <c r="E10" s="47">
        <v>1.41</v>
      </c>
      <c r="F10" s="47">
        <v>1.29</v>
      </c>
      <c r="G10" s="47">
        <f t="shared" si="0"/>
        <v>0</v>
      </c>
      <c r="H10" s="53">
        <v>10765970.449999999</v>
      </c>
      <c r="I10" s="53">
        <v>6917637.5</v>
      </c>
      <c r="J10" s="47">
        <f t="shared" si="1"/>
        <v>0</v>
      </c>
      <c r="K10" s="51">
        <f t="shared" si="2"/>
        <v>1152939.5833333333</v>
      </c>
      <c r="L10" s="45">
        <f t="shared" si="5"/>
        <v>9.3378444158139242</v>
      </c>
      <c r="M10" s="43">
        <f t="shared" si="4"/>
        <v>0</v>
      </c>
      <c r="N10" s="46">
        <f t="shared" si="3"/>
        <v>0</v>
      </c>
      <c r="O10" s="46">
        <f>'ก.พ.64'!N10</f>
        <v>0</v>
      </c>
      <c r="P10" s="72">
        <v>5593561.4299999997</v>
      </c>
      <c r="Q10" s="53">
        <v>5796988.4100000001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1.57</v>
      </c>
      <c r="E11" s="56">
        <v>1.4</v>
      </c>
      <c r="F11" s="47">
        <v>1.07</v>
      </c>
      <c r="G11" s="47">
        <f t="shared" si="0"/>
        <v>0</v>
      </c>
      <c r="H11" s="53">
        <v>32864019.850000001</v>
      </c>
      <c r="I11" s="53">
        <v>18895394.379999999</v>
      </c>
      <c r="J11" s="47">
        <f t="shared" si="1"/>
        <v>0</v>
      </c>
      <c r="K11" s="51">
        <f t="shared" si="2"/>
        <v>3149232.3966666665</v>
      </c>
      <c r="L11" s="45">
        <f t="shared" si="5"/>
        <v>10.435565150665038</v>
      </c>
      <c r="M11" s="43">
        <f t="shared" si="4"/>
        <v>0</v>
      </c>
      <c r="N11" s="46">
        <f t="shared" si="3"/>
        <v>0</v>
      </c>
      <c r="O11" s="46">
        <f>'ก.พ.64'!N11</f>
        <v>0</v>
      </c>
      <c r="P11" s="72">
        <v>24835259.77</v>
      </c>
      <c r="Q11" s="53">
        <v>3594079.43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1.65</v>
      </c>
      <c r="E12" s="47">
        <v>1.43</v>
      </c>
      <c r="F12" s="56">
        <v>1.1000000000000001</v>
      </c>
      <c r="G12" s="47">
        <f t="shared" si="0"/>
        <v>0</v>
      </c>
      <c r="H12" s="53">
        <v>18621940.559999999</v>
      </c>
      <c r="I12" s="53">
        <v>13047704.529999999</v>
      </c>
      <c r="J12" s="47">
        <f t="shared" si="1"/>
        <v>0</v>
      </c>
      <c r="K12" s="51">
        <f t="shared" si="2"/>
        <v>2174617.4216666664</v>
      </c>
      <c r="L12" s="45">
        <f t="shared" si="5"/>
        <v>8.5633180229595531</v>
      </c>
      <c r="M12" s="43">
        <f t="shared" si="4"/>
        <v>0</v>
      </c>
      <c r="N12" s="46">
        <f t="shared" si="3"/>
        <v>0</v>
      </c>
      <c r="O12" s="46">
        <f>'ก.พ.64'!N12</f>
        <v>1</v>
      </c>
      <c r="P12" s="72">
        <v>12144961.890000001</v>
      </c>
      <c r="Q12" s="53">
        <v>2956418.19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1.82</v>
      </c>
      <c r="E13" s="47">
        <v>1.71</v>
      </c>
      <c r="F13" s="47">
        <v>1.57</v>
      </c>
      <c r="G13" s="47">
        <f t="shared" si="0"/>
        <v>0</v>
      </c>
      <c r="H13" s="53">
        <v>19912698.300000001</v>
      </c>
      <c r="I13" s="53">
        <v>11708204.310000001</v>
      </c>
      <c r="J13" s="47">
        <f t="shared" si="1"/>
        <v>0</v>
      </c>
      <c r="K13" s="51">
        <f t="shared" si="2"/>
        <v>1951367.385</v>
      </c>
      <c r="L13" s="45">
        <f t="shared" si="5"/>
        <v>10.204484533802948</v>
      </c>
      <c r="M13" s="43">
        <f t="shared" si="4"/>
        <v>0</v>
      </c>
      <c r="N13" s="46">
        <f t="shared" si="3"/>
        <v>0</v>
      </c>
      <c r="O13" s="46">
        <f>'ก.พ.64'!N13</f>
        <v>0</v>
      </c>
      <c r="P13" s="72">
        <v>13383150.43</v>
      </c>
      <c r="Q13" s="53">
        <v>13690444.6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2.84</v>
      </c>
      <c r="E14" s="47">
        <v>2.62</v>
      </c>
      <c r="F14" s="47">
        <v>1.96</v>
      </c>
      <c r="G14" s="47">
        <f t="shared" si="0"/>
        <v>0</v>
      </c>
      <c r="H14" s="53">
        <v>28631518.210000001</v>
      </c>
      <c r="I14" s="53">
        <v>17982796.25</v>
      </c>
      <c r="J14" s="47">
        <f t="shared" si="1"/>
        <v>0</v>
      </c>
      <c r="K14" s="51">
        <f t="shared" si="2"/>
        <v>2997132.7083333335</v>
      </c>
      <c r="L14" s="45">
        <f t="shared" si="5"/>
        <v>9.5529697868872869</v>
      </c>
      <c r="M14" s="43">
        <f t="shared" si="4"/>
        <v>0</v>
      </c>
      <c r="N14" s="46">
        <f t="shared" si="3"/>
        <v>0</v>
      </c>
      <c r="O14" s="46">
        <f>'ก.พ.64'!N14</f>
        <v>0</v>
      </c>
      <c r="P14" s="72">
        <v>18168881.449999999</v>
      </c>
      <c r="Q14" s="53">
        <v>14904379.26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3.74</v>
      </c>
      <c r="E15" s="47">
        <v>3.35</v>
      </c>
      <c r="F15" s="47">
        <v>2.81</v>
      </c>
      <c r="G15" s="47">
        <f t="shared" si="0"/>
        <v>0</v>
      </c>
      <c r="H15" s="53">
        <v>34395565.810000002</v>
      </c>
      <c r="I15" s="53">
        <v>20352638.23</v>
      </c>
      <c r="J15" s="47">
        <f t="shared" si="1"/>
        <v>0</v>
      </c>
      <c r="K15" s="51">
        <f t="shared" si="2"/>
        <v>3392106.3716666666</v>
      </c>
      <c r="L15" s="45">
        <f t="shared" si="5"/>
        <v>10.139884202127835</v>
      </c>
      <c r="M15" s="43">
        <f t="shared" si="4"/>
        <v>0</v>
      </c>
      <c r="N15" s="46">
        <f t="shared" si="3"/>
        <v>0</v>
      </c>
      <c r="O15" s="46">
        <f>'ก.พ.64'!N15</f>
        <v>0</v>
      </c>
      <c r="P15" s="72">
        <v>18343849.170000002</v>
      </c>
      <c r="Q15" s="53">
        <v>22751066.949999999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4.62</v>
      </c>
      <c r="E16" s="47">
        <v>3.81</v>
      </c>
      <c r="F16" s="47">
        <v>3.42</v>
      </c>
      <c r="G16" s="47">
        <f t="shared" si="0"/>
        <v>0</v>
      </c>
      <c r="H16" s="53">
        <v>76666638.200000003</v>
      </c>
      <c r="I16" s="53">
        <v>43127591.909999996</v>
      </c>
      <c r="J16" s="47">
        <f t="shared" si="1"/>
        <v>0</v>
      </c>
      <c r="K16" s="51">
        <f t="shared" si="2"/>
        <v>7187931.9849999994</v>
      </c>
      <c r="L16" s="45">
        <f t="shared" si="5"/>
        <v>10.666021654071065</v>
      </c>
      <c r="M16" s="43">
        <f t="shared" si="4"/>
        <v>0</v>
      </c>
      <c r="N16" s="46">
        <f t="shared" si="3"/>
        <v>0</v>
      </c>
      <c r="O16" s="46">
        <f>'ก.พ.64'!N16</f>
        <v>0</v>
      </c>
      <c r="P16" s="72">
        <v>33853186.07</v>
      </c>
      <c r="Q16" s="53">
        <v>51131509.659999996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2.68</v>
      </c>
      <c r="E17" s="47">
        <v>2.46</v>
      </c>
      <c r="F17" s="47">
        <v>2.2599999999999998</v>
      </c>
      <c r="G17" s="47">
        <f t="shared" si="0"/>
        <v>0</v>
      </c>
      <c r="H17" s="53">
        <v>10569318.02</v>
      </c>
      <c r="I17" s="53">
        <v>5515747.3399999999</v>
      </c>
      <c r="J17" s="47">
        <f t="shared" si="1"/>
        <v>0</v>
      </c>
      <c r="K17" s="51">
        <f t="shared" si="2"/>
        <v>919291.22333333327</v>
      </c>
      <c r="L17" s="45">
        <f t="shared" si="5"/>
        <v>11.49724673936932</v>
      </c>
      <c r="M17" s="43">
        <f t="shared" si="4"/>
        <v>0</v>
      </c>
      <c r="N17" s="46">
        <f t="shared" si="3"/>
        <v>0</v>
      </c>
      <c r="O17" s="46">
        <f>'ก.พ.64'!N17</f>
        <v>0</v>
      </c>
      <c r="P17" s="72">
        <v>6069102.5999999996</v>
      </c>
      <c r="Q17" s="53">
        <v>7970734.8300000001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1.87</v>
      </c>
      <c r="E18" s="56">
        <v>1.7</v>
      </c>
      <c r="F18" s="56">
        <v>1.3</v>
      </c>
      <c r="G18" s="47">
        <f t="shared" si="0"/>
        <v>0</v>
      </c>
      <c r="H18" s="53">
        <v>18882821.510000002</v>
      </c>
      <c r="I18" s="53">
        <v>12683881.960000001</v>
      </c>
      <c r="J18" s="47">
        <f t="shared" si="1"/>
        <v>0</v>
      </c>
      <c r="K18" s="51">
        <f t="shared" si="2"/>
        <v>2113980.3266666667</v>
      </c>
      <c r="L18" s="45">
        <f t="shared" si="5"/>
        <v>8.9323544177795249</v>
      </c>
      <c r="M18" s="43">
        <f t="shared" si="4"/>
        <v>0</v>
      </c>
      <c r="N18" s="46">
        <f t="shared" si="3"/>
        <v>0</v>
      </c>
      <c r="O18" s="46">
        <f>'ก.พ.64'!N18</f>
        <v>0</v>
      </c>
      <c r="P18" s="72">
        <v>14869965.24</v>
      </c>
      <c r="Q18" s="53">
        <v>6445895.6200000001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1.53</v>
      </c>
      <c r="E19" s="47">
        <v>1.35</v>
      </c>
      <c r="F19" s="47">
        <v>0.91</v>
      </c>
      <c r="G19" s="47">
        <f t="shared" si="0"/>
        <v>0</v>
      </c>
      <c r="H19" s="53">
        <v>7041825.75</v>
      </c>
      <c r="I19" s="53">
        <v>5887771.4299999997</v>
      </c>
      <c r="J19" s="47">
        <f t="shared" si="1"/>
        <v>0</v>
      </c>
      <c r="K19" s="51">
        <f t="shared" si="2"/>
        <v>981295.23833333328</v>
      </c>
      <c r="L19" s="45">
        <f t="shared" si="5"/>
        <v>7.176052094128254</v>
      </c>
      <c r="M19" s="43">
        <f t="shared" si="4"/>
        <v>0</v>
      </c>
      <c r="N19" s="46">
        <f t="shared" si="3"/>
        <v>0</v>
      </c>
      <c r="O19" s="46">
        <f>'ก.พ.64'!N19</f>
        <v>0</v>
      </c>
      <c r="P19" s="72">
        <v>8105376.1900000004</v>
      </c>
      <c r="Q19" s="64">
        <v>-1206667.5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2.62</v>
      </c>
      <c r="E20" s="47">
        <v>2.4500000000000002</v>
      </c>
      <c r="F20" s="47">
        <v>2.0699999999999998</v>
      </c>
      <c r="G20" s="47">
        <f t="shared" si="0"/>
        <v>0</v>
      </c>
      <c r="H20" s="53">
        <v>11598307.51</v>
      </c>
      <c r="I20" s="53">
        <v>4350804.63</v>
      </c>
      <c r="J20" s="47">
        <f t="shared" si="1"/>
        <v>0</v>
      </c>
      <c r="K20" s="44">
        <f t="shared" si="2"/>
        <v>725134.10499999998</v>
      </c>
      <c r="L20" s="45">
        <f t="shared" si="5"/>
        <v>15.994706951481755</v>
      </c>
      <c r="M20" s="43">
        <f t="shared" si="4"/>
        <v>0</v>
      </c>
      <c r="N20" s="46">
        <f t="shared" si="3"/>
        <v>0</v>
      </c>
      <c r="O20" s="46">
        <f>'ก.พ.64'!N20</f>
        <v>0</v>
      </c>
      <c r="P20" s="72">
        <v>5910506.4800000004</v>
      </c>
      <c r="Q20" s="53">
        <v>7632134.0700000003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5" t="s">
        <v>5</v>
      </c>
      <c r="M23" s="115"/>
      <c r="N23" s="11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5"/>
      <c r="M24" s="115"/>
      <c r="N24" s="11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5" t="s">
        <v>5</v>
      </c>
      <c r="M25" s="115"/>
      <c r="N25" s="11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5"/>
      <c r="M26" s="115"/>
      <c r="N26" s="11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6" t="s">
        <v>5</v>
      </c>
      <c r="L27" s="116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5" t="s">
        <v>5</v>
      </c>
      <c r="M30" s="115"/>
      <c r="N30" s="11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5"/>
      <c r="M31" s="115"/>
      <c r="N31" s="11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1" sqref="Q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3" t="s">
        <v>75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P1" s="71" t="s">
        <v>53</v>
      </c>
      <c r="Q1" s="41">
        <v>44333</v>
      </c>
    </row>
    <row r="2" spans="1:25" ht="54.75" customHeight="1" thickBot="1" x14ac:dyDescent="0.3">
      <c r="C2" s="147" t="s">
        <v>41</v>
      </c>
      <c r="D2" s="154" t="s">
        <v>40</v>
      </c>
      <c r="E2" s="154"/>
      <c r="F2" s="154"/>
      <c r="G2" s="154"/>
      <c r="H2" s="155" t="s">
        <v>39</v>
      </c>
      <c r="I2" s="155"/>
      <c r="J2" s="155"/>
      <c r="K2" s="156" t="s">
        <v>38</v>
      </c>
      <c r="L2" s="156"/>
      <c r="M2" s="156"/>
      <c r="N2" s="157" t="s">
        <v>76</v>
      </c>
      <c r="O2" s="142" t="s">
        <v>77</v>
      </c>
      <c r="P2" s="150" t="s">
        <v>56</v>
      </c>
      <c r="Q2" s="143" t="s">
        <v>37</v>
      </c>
    </row>
    <row r="3" spans="1:25" ht="38.25" customHeight="1" thickBot="1" x14ac:dyDescent="0.3">
      <c r="C3" s="147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47" t="s">
        <v>32</v>
      </c>
      <c r="J3" s="148" t="s">
        <v>29</v>
      </c>
      <c r="K3" s="149" t="s">
        <v>31</v>
      </c>
      <c r="L3" s="147" t="s">
        <v>30</v>
      </c>
      <c r="M3" s="158" t="s">
        <v>29</v>
      </c>
      <c r="N3" s="157"/>
      <c r="O3" s="142"/>
      <c r="P3" s="151"/>
      <c r="Q3" s="143"/>
    </row>
    <row r="4" spans="1:25" ht="36.75" customHeight="1" thickBot="1" x14ac:dyDescent="0.3">
      <c r="C4" s="147"/>
      <c r="D4" s="144"/>
      <c r="E4" s="144"/>
      <c r="F4" s="144"/>
      <c r="G4" s="145"/>
      <c r="H4" s="146"/>
      <c r="I4" s="147"/>
      <c r="J4" s="148"/>
      <c r="K4" s="149"/>
      <c r="L4" s="147"/>
      <c r="M4" s="158"/>
      <c r="N4" s="157"/>
      <c r="O4" s="142"/>
      <c r="P4" s="152"/>
      <c r="Q4" s="14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2.76</v>
      </c>
      <c r="E5" s="47">
        <v>2.59</v>
      </c>
      <c r="F5" s="47">
        <v>0.87</v>
      </c>
      <c r="G5" s="47">
        <f t="shared" ref="G5:G20" si="0">(IF(D5&lt;1.5,1,0))+(IF(E5&lt;1,1,0))+(IF(F5&lt;0.8,1,0))</f>
        <v>0</v>
      </c>
      <c r="H5" s="53">
        <v>535527538.30000001</v>
      </c>
      <c r="I5" s="53">
        <v>168129897.69</v>
      </c>
      <c r="J5" s="47">
        <f t="shared" ref="J5:J20" si="1">IF(I5&lt;0,1,0)+IF(H5&lt;0,1,0)</f>
        <v>0</v>
      </c>
      <c r="K5" s="51">
        <f>SUM(I5/7)</f>
        <v>24018556.812857144</v>
      </c>
      <c r="L5" s="45">
        <f>+H5/K5</f>
        <v>22.296407834684384</v>
      </c>
      <c r="M5" s="47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0</v>
      </c>
      <c r="O5" s="46">
        <f>'มี.ค.64'!N5</f>
        <v>0</v>
      </c>
      <c r="P5" s="72">
        <v>206796033.28999999</v>
      </c>
      <c r="Q5" s="64">
        <v>-39265735.280000001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1.03</v>
      </c>
      <c r="E6" s="42">
        <v>0.97</v>
      </c>
      <c r="F6" s="42">
        <v>0.63</v>
      </c>
      <c r="G6" s="55">
        <f t="shared" si="0"/>
        <v>3</v>
      </c>
      <c r="H6" s="53">
        <v>4886059.1900000004</v>
      </c>
      <c r="I6" s="53">
        <v>27649720.149999999</v>
      </c>
      <c r="J6" s="63">
        <f>IF(I6&lt;0,1,0)+IF(H6&lt;0,1,0)</f>
        <v>0</v>
      </c>
      <c r="K6" s="51">
        <f>SUM(I6/7)</f>
        <v>3949960.0214285711</v>
      </c>
      <c r="L6" s="45">
        <f>+H6/K6</f>
        <v>1.2369895298922222</v>
      </c>
      <c r="M6" s="47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'มี.ค.64'!N6</f>
        <v>3</v>
      </c>
      <c r="P6" s="72">
        <v>42191340.149999999</v>
      </c>
      <c r="Q6" s="64">
        <v>-53973437.57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1.62</v>
      </c>
      <c r="E7" s="47">
        <v>1.45</v>
      </c>
      <c r="F7" s="47">
        <v>1.1599999999999999</v>
      </c>
      <c r="G7" s="47">
        <f t="shared" si="0"/>
        <v>0</v>
      </c>
      <c r="H7" s="53">
        <v>15949853.560000001</v>
      </c>
      <c r="I7" s="53">
        <v>9858280.5500000007</v>
      </c>
      <c r="J7" s="47">
        <f t="shared" si="1"/>
        <v>0</v>
      </c>
      <c r="K7" s="51">
        <f>SUM(I7/7)</f>
        <v>1408325.7928571429</v>
      </c>
      <c r="L7" s="45">
        <f t="shared" ref="L7:L20" si="4">+H7/K7</f>
        <v>11.325400444198152</v>
      </c>
      <c r="M7" s="47">
        <f t="shared" si="3"/>
        <v>0</v>
      </c>
      <c r="N7" s="46">
        <f t="shared" si="2"/>
        <v>0</v>
      </c>
      <c r="O7" s="46">
        <f>'มี.ค.64'!N7</f>
        <v>0</v>
      </c>
      <c r="P7" s="72">
        <v>9908369.5800000001</v>
      </c>
      <c r="Q7" s="53">
        <v>4251877.45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56">
        <v>2.8</v>
      </c>
      <c r="E8" s="47">
        <v>2.5099999999999998</v>
      </c>
      <c r="F8" s="47">
        <v>2.02</v>
      </c>
      <c r="G8" s="63">
        <f t="shared" si="0"/>
        <v>0</v>
      </c>
      <c r="H8" s="53">
        <v>22059913.079999998</v>
      </c>
      <c r="I8" s="53">
        <v>9167840.9499999993</v>
      </c>
      <c r="J8" s="63">
        <f t="shared" si="1"/>
        <v>0</v>
      </c>
      <c r="K8" s="51">
        <f t="shared" ref="K8:K19" si="5">SUM(I8/7)</f>
        <v>1309691.5642857142</v>
      </c>
      <c r="L8" s="45">
        <f t="shared" si="4"/>
        <v>16.84359408089426</v>
      </c>
      <c r="M8" s="47">
        <f t="shared" si="3"/>
        <v>0</v>
      </c>
      <c r="N8" s="46">
        <f t="shared" si="2"/>
        <v>0</v>
      </c>
      <c r="O8" s="46">
        <f>'มี.ค.64'!N8</f>
        <v>0</v>
      </c>
      <c r="P8" s="72">
        <v>12652155.880000001</v>
      </c>
      <c r="Q8" s="53">
        <v>12250958.640000001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1.83</v>
      </c>
      <c r="E9" s="47">
        <v>1.65</v>
      </c>
      <c r="F9" s="56">
        <v>1.5</v>
      </c>
      <c r="G9" s="47">
        <f t="shared" si="0"/>
        <v>0</v>
      </c>
      <c r="H9" s="53">
        <v>19097302.68</v>
      </c>
      <c r="I9" s="53">
        <v>6264584.4800000004</v>
      </c>
      <c r="J9" s="47">
        <f t="shared" si="1"/>
        <v>0</v>
      </c>
      <c r="K9" s="51">
        <f t="shared" si="5"/>
        <v>894940.64</v>
      </c>
      <c r="L9" s="45">
        <f t="shared" si="4"/>
        <v>21.339183658035687</v>
      </c>
      <c r="M9" s="47">
        <f t="shared" si="3"/>
        <v>0</v>
      </c>
      <c r="N9" s="46">
        <f t="shared" si="2"/>
        <v>0</v>
      </c>
      <c r="O9" s="46">
        <f>'มี.ค.64'!N9</f>
        <v>0</v>
      </c>
      <c r="P9" s="72">
        <v>7170594.6500000004</v>
      </c>
      <c r="Q9" s="53">
        <v>11447707.41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>
        <v>1.38</v>
      </c>
      <c r="E10" s="47">
        <v>1.28</v>
      </c>
      <c r="F10" s="47">
        <v>1.1599999999999999</v>
      </c>
      <c r="G10" s="42">
        <f t="shared" si="0"/>
        <v>1</v>
      </c>
      <c r="H10" s="53">
        <v>8463148.3499999996</v>
      </c>
      <c r="I10" s="53">
        <v>4454644.0199999996</v>
      </c>
      <c r="J10" s="47">
        <f t="shared" si="1"/>
        <v>0</v>
      </c>
      <c r="K10" s="51">
        <f t="shared" si="5"/>
        <v>636377.71714285703</v>
      </c>
      <c r="L10" s="45">
        <f t="shared" si="4"/>
        <v>13.298938856622714</v>
      </c>
      <c r="M10" s="47">
        <f t="shared" si="3"/>
        <v>0</v>
      </c>
      <c r="N10" s="46">
        <f t="shared" si="2"/>
        <v>1</v>
      </c>
      <c r="O10" s="46">
        <f>'มี.ค.64'!N10</f>
        <v>0</v>
      </c>
      <c r="P10" s="72">
        <v>3354239.33</v>
      </c>
      <c r="Q10" s="53">
        <v>3508077.79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1.51</v>
      </c>
      <c r="E11" s="47">
        <v>1.35</v>
      </c>
      <c r="F11" s="47">
        <v>0.98</v>
      </c>
      <c r="G11" s="47">
        <f t="shared" si="0"/>
        <v>0</v>
      </c>
      <c r="H11" s="53">
        <v>31999937.48</v>
      </c>
      <c r="I11" s="53">
        <v>18334891.27</v>
      </c>
      <c r="J11" s="47">
        <f t="shared" si="1"/>
        <v>0</v>
      </c>
      <c r="K11" s="51">
        <f t="shared" si="5"/>
        <v>2619270.1814285712</v>
      </c>
      <c r="L11" s="45">
        <f t="shared" si="4"/>
        <v>12.217119756063871</v>
      </c>
      <c r="M11" s="47">
        <f t="shared" si="3"/>
        <v>0</v>
      </c>
      <c r="N11" s="46">
        <f t="shared" si="2"/>
        <v>0</v>
      </c>
      <c r="O11" s="46">
        <f>'มี.ค.64'!N11</f>
        <v>0</v>
      </c>
      <c r="P11" s="72">
        <v>24909232.199999999</v>
      </c>
      <c r="Q11" s="64">
        <v>-1488137.49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1.58</v>
      </c>
      <c r="E12" s="47">
        <v>1.36</v>
      </c>
      <c r="F12" s="47">
        <v>1.02</v>
      </c>
      <c r="G12" s="47">
        <f t="shared" si="0"/>
        <v>0</v>
      </c>
      <c r="H12" s="53">
        <v>17084726.140000001</v>
      </c>
      <c r="I12" s="53">
        <v>11208048.369999999</v>
      </c>
      <c r="J12" s="47">
        <f t="shared" si="1"/>
        <v>0</v>
      </c>
      <c r="K12" s="51">
        <f t="shared" si="5"/>
        <v>1601149.767142857</v>
      </c>
      <c r="L12" s="45">
        <f t="shared" si="4"/>
        <v>10.670286122257341</v>
      </c>
      <c r="M12" s="47">
        <f t="shared" si="3"/>
        <v>0</v>
      </c>
      <c r="N12" s="46">
        <f t="shared" si="2"/>
        <v>0</v>
      </c>
      <c r="O12" s="46">
        <f>'มี.ค.64'!N12</f>
        <v>0</v>
      </c>
      <c r="P12" s="72">
        <v>10581963.25</v>
      </c>
      <c r="Q12" s="53">
        <v>525557.77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1.72</v>
      </c>
      <c r="E13" s="47">
        <v>1.61</v>
      </c>
      <c r="F13" s="47">
        <v>1.47</v>
      </c>
      <c r="G13" s="47">
        <f t="shared" si="0"/>
        <v>0</v>
      </c>
      <c r="H13" s="53">
        <v>17584783.98</v>
      </c>
      <c r="I13" s="53">
        <v>9006604.7400000002</v>
      </c>
      <c r="J13" s="47">
        <f t="shared" si="1"/>
        <v>0</v>
      </c>
      <c r="K13" s="51">
        <f t="shared" si="5"/>
        <v>1286657.82</v>
      </c>
      <c r="L13" s="45">
        <f t="shared" si="4"/>
        <v>13.667024524049447</v>
      </c>
      <c r="M13" s="47">
        <f t="shared" si="3"/>
        <v>0</v>
      </c>
      <c r="N13" s="46">
        <f t="shared" si="2"/>
        <v>0</v>
      </c>
      <c r="O13" s="46">
        <f>'มี.ค.64'!N13</f>
        <v>0</v>
      </c>
      <c r="P13" s="72">
        <v>11175776.15</v>
      </c>
      <c r="Q13" s="53">
        <v>11265775.699999999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2.97</v>
      </c>
      <c r="E14" s="47">
        <v>2.75</v>
      </c>
      <c r="F14" s="47">
        <v>1.76</v>
      </c>
      <c r="G14" s="47">
        <f t="shared" si="0"/>
        <v>0</v>
      </c>
      <c r="H14" s="53">
        <v>31001047.600000001</v>
      </c>
      <c r="I14" s="53">
        <v>20252368.949999999</v>
      </c>
      <c r="J14" s="47">
        <f t="shared" si="1"/>
        <v>0</v>
      </c>
      <c r="K14" s="51">
        <f t="shared" si="5"/>
        <v>2893195.5642857142</v>
      </c>
      <c r="L14" s="45">
        <f t="shared" si="4"/>
        <v>10.715158001306312</v>
      </c>
      <c r="M14" s="47">
        <f t="shared" si="3"/>
        <v>0</v>
      </c>
      <c r="N14" s="46">
        <f t="shared" si="2"/>
        <v>0</v>
      </c>
      <c r="O14" s="46">
        <f>'มี.ค.64'!N14</f>
        <v>0</v>
      </c>
      <c r="P14" s="72">
        <v>20783193.23</v>
      </c>
      <c r="Q14" s="53">
        <v>11871717.25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3.78</v>
      </c>
      <c r="E15" s="47">
        <v>3.43</v>
      </c>
      <c r="F15" s="47">
        <v>2.83</v>
      </c>
      <c r="G15" s="47">
        <f t="shared" si="0"/>
        <v>0</v>
      </c>
      <c r="H15" s="53">
        <v>33572440.189999998</v>
      </c>
      <c r="I15" s="53">
        <v>19181859.48</v>
      </c>
      <c r="J15" s="47">
        <f t="shared" si="1"/>
        <v>0</v>
      </c>
      <c r="K15" s="51">
        <f t="shared" si="5"/>
        <v>2740265.64</v>
      </c>
      <c r="L15" s="45">
        <f t="shared" si="4"/>
        <v>12.251527625620994</v>
      </c>
      <c r="M15" s="47">
        <f t="shared" si="3"/>
        <v>0</v>
      </c>
      <c r="N15" s="46">
        <f t="shared" si="2"/>
        <v>0</v>
      </c>
      <c r="O15" s="46">
        <f>'มี.ค.64'!N15</f>
        <v>0</v>
      </c>
      <c r="P15" s="72">
        <v>17717854.550000001</v>
      </c>
      <c r="Q15" s="53">
        <v>22032216.02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4.37</v>
      </c>
      <c r="E16" s="47">
        <v>3.58</v>
      </c>
      <c r="F16" s="47">
        <v>3.19</v>
      </c>
      <c r="G16" s="47">
        <f t="shared" si="0"/>
        <v>0</v>
      </c>
      <c r="H16" s="53">
        <v>73747089.599999994</v>
      </c>
      <c r="I16" s="53">
        <v>41443478.329999998</v>
      </c>
      <c r="J16" s="47">
        <f t="shared" si="1"/>
        <v>0</v>
      </c>
      <c r="K16" s="51">
        <f t="shared" si="5"/>
        <v>5920496.904285714</v>
      </c>
      <c r="L16" s="45">
        <f t="shared" si="4"/>
        <v>12.456233115604897</v>
      </c>
      <c r="M16" s="47">
        <f t="shared" si="3"/>
        <v>0</v>
      </c>
      <c r="N16" s="46">
        <f t="shared" si="2"/>
        <v>0</v>
      </c>
      <c r="O16" s="46">
        <f>'มี.ค.64'!N16</f>
        <v>0</v>
      </c>
      <c r="P16" s="72">
        <v>33070705.059999999</v>
      </c>
      <c r="Q16" s="53">
        <v>47874306.710000001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2.46</v>
      </c>
      <c r="E17" s="47">
        <v>2.25</v>
      </c>
      <c r="F17" s="47">
        <v>2.06</v>
      </c>
      <c r="G17" s="47">
        <f t="shared" si="0"/>
        <v>0</v>
      </c>
      <c r="H17" s="53">
        <v>9302083.7300000004</v>
      </c>
      <c r="I17" s="53">
        <v>4000420.54</v>
      </c>
      <c r="J17" s="47">
        <f t="shared" si="1"/>
        <v>0</v>
      </c>
      <c r="K17" s="51">
        <f t="shared" si="5"/>
        <v>571488.64857142861</v>
      </c>
      <c r="L17" s="45">
        <f t="shared" si="4"/>
        <v>16.276935251912288</v>
      </c>
      <c r="M17" s="47">
        <f t="shared" si="3"/>
        <v>0</v>
      </c>
      <c r="N17" s="46">
        <f t="shared" si="2"/>
        <v>0</v>
      </c>
      <c r="O17" s="46">
        <f>'มี.ค.64'!N17</f>
        <v>0</v>
      </c>
      <c r="P17" s="72">
        <v>4787368.3099999996</v>
      </c>
      <c r="Q17" s="53">
        <v>6739472.1600000001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1.78</v>
      </c>
      <c r="E18" s="47">
        <v>1.62</v>
      </c>
      <c r="F18" s="47">
        <v>1.19</v>
      </c>
      <c r="G18" s="47">
        <f t="shared" si="0"/>
        <v>0</v>
      </c>
      <c r="H18" s="53">
        <v>17092762.699999999</v>
      </c>
      <c r="I18" s="53">
        <v>9962946.9100000001</v>
      </c>
      <c r="J18" s="47">
        <f t="shared" si="1"/>
        <v>0</v>
      </c>
      <c r="K18" s="51">
        <f t="shared" si="5"/>
        <v>1423278.1300000001</v>
      </c>
      <c r="L18" s="45">
        <f t="shared" si="4"/>
        <v>12.009432548506874</v>
      </c>
      <c r="M18" s="47">
        <f t="shared" si="3"/>
        <v>0</v>
      </c>
      <c r="N18" s="46">
        <f t="shared" si="2"/>
        <v>0</v>
      </c>
      <c r="O18" s="46">
        <f>'มี.ค.64'!N18</f>
        <v>0</v>
      </c>
      <c r="P18" s="72">
        <v>13016024.4</v>
      </c>
      <c r="Q18" s="53">
        <v>4239939.47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2">
        <v>1.49</v>
      </c>
      <c r="E19" s="56">
        <v>1.3</v>
      </c>
      <c r="F19" s="42">
        <v>0.78</v>
      </c>
      <c r="G19" s="42">
        <f t="shared" si="0"/>
        <v>2</v>
      </c>
      <c r="H19" s="53">
        <v>6624571.2199999997</v>
      </c>
      <c r="I19" s="53">
        <v>5163170.78</v>
      </c>
      <c r="J19" s="47">
        <f t="shared" si="1"/>
        <v>0</v>
      </c>
      <c r="K19" s="51">
        <f t="shared" si="5"/>
        <v>737595.82571428572</v>
      </c>
      <c r="L19" s="45">
        <f t="shared" si="4"/>
        <v>8.9813024817280969</v>
      </c>
      <c r="M19" s="47">
        <f t="shared" si="3"/>
        <v>0</v>
      </c>
      <c r="N19" s="46">
        <f t="shared" si="2"/>
        <v>2</v>
      </c>
      <c r="O19" s="46">
        <f>'มี.ค.64'!N19</f>
        <v>0</v>
      </c>
      <c r="P19" s="72">
        <v>7750630.8899999997</v>
      </c>
      <c r="Q19" s="64">
        <v>-3086936.29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2.5499999999999998</v>
      </c>
      <c r="E20" s="47">
        <v>2.37</v>
      </c>
      <c r="F20" s="47">
        <v>1.97</v>
      </c>
      <c r="G20" s="47">
        <f t="shared" si="0"/>
        <v>0</v>
      </c>
      <c r="H20" s="53">
        <v>10468684.75</v>
      </c>
      <c r="I20" s="53">
        <v>2888393.95</v>
      </c>
      <c r="J20" s="47">
        <f t="shared" si="1"/>
        <v>0</v>
      </c>
      <c r="K20" s="51">
        <f>SUM(I20/7)</f>
        <v>412627.70714285719</v>
      </c>
      <c r="L20" s="45">
        <f t="shared" si="4"/>
        <v>25.370775080733011</v>
      </c>
      <c r="M20" s="47">
        <f t="shared" si="3"/>
        <v>0</v>
      </c>
      <c r="N20" s="46">
        <f t="shared" si="2"/>
        <v>0</v>
      </c>
      <c r="O20" s="46">
        <f>'มี.ค.64'!N20</f>
        <v>0</v>
      </c>
      <c r="P20" s="72">
        <v>4773905.63</v>
      </c>
      <c r="Q20" s="53">
        <v>6503029.9800000004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5" t="s">
        <v>5</v>
      </c>
      <c r="M23" s="115"/>
      <c r="N23" s="11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5"/>
      <c r="M24" s="115"/>
      <c r="N24" s="11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5" t="s">
        <v>5</v>
      </c>
      <c r="M25" s="115"/>
      <c r="N25" s="11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5"/>
      <c r="M26" s="115"/>
      <c r="N26" s="11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6" t="s">
        <v>5</v>
      </c>
      <c r="L27" s="116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5" t="s">
        <v>5</v>
      </c>
      <c r="M30" s="115"/>
      <c r="N30" s="11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5"/>
      <c r="M31" s="115"/>
      <c r="N31" s="11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J44"/>
  <sheetViews>
    <sheetView zoomScale="70" zoomScaleNormal="70" workbookViewId="0">
      <pane xSplit="3" ySplit="4" topLeftCell="H5" activePane="bottomRight" state="frozen"/>
      <selection activeCell="B1" sqref="B1"/>
      <selection pane="topRight" activeCell="D1" sqref="D1"/>
      <selection pane="bottomLeft" activeCell="B5" sqref="B5"/>
      <selection pane="bottomRight" activeCell="G20" sqref="G2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3" t="s">
        <v>78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P1" s="71" t="s">
        <v>53</v>
      </c>
      <c r="Q1" s="67">
        <v>242690</v>
      </c>
    </row>
    <row r="2" spans="1:25" ht="54.75" customHeight="1" thickBot="1" x14ac:dyDescent="0.3">
      <c r="C2" s="147" t="s">
        <v>41</v>
      </c>
      <c r="D2" s="154" t="s">
        <v>40</v>
      </c>
      <c r="E2" s="154"/>
      <c r="F2" s="154"/>
      <c r="G2" s="154"/>
      <c r="H2" s="155" t="s">
        <v>39</v>
      </c>
      <c r="I2" s="155"/>
      <c r="J2" s="155"/>
      <c r="K2" s="156" t="s">
        <v>38</v>
      </c>
      <c r="L2" s="156"/>
      <c r="M2" s="156"/>
      <c r="N2" s="157" t="s">
        <v>79</v>
      </c>
      <c r="O2" s="142" t="s">
        <v>80</v>
      </c>
      <c r="P2" s="142" t="s">
        <v>56</v>
      </c>
      <c r="Q2" s="143" t="s">
        <v>37</v>
      </c>
    </row>
    <row r="3" spans="1:25" ht="38.25" customHeight="1" thickBot="1" x14ac:dyDescent="0.3">
      <c r="C3" s="147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47" t="s">
        <v>32</v>
      </c>
      <c r="J3" s="148" t="s">
        <v>29</v>
      </c>
      <c r="K3" s="149" t="s">
        <v>31</v>
      </c>
      <c r="L3" s="147" t="s">
        <v>30</v>
      </c>
      <c r="M3" s="158" t="s">
        <v>29</v>
      </c>
      <c r="N3" s="157"/>
      <c r="O3" s="142"/>
      <c r="P3" s="142"/>
      <c r="Q3" s="143"/>
    </row>
    <row r="4" spans="1:25" ht="36.75" customHeight="1" thickBot="1" x14ac:dyDescent="0.3">
      <c r="C4" s="147"/>
      <c r="D4" s="144"/>
      <c r="E4" s="144"/>
      <c r="F4" s="144"/>
      <c r="G4" s="145"/>
      <c r="H4" s="146"/>
      <c r="I4" s="147"/>
      <c r="J4" s="148"/>
      <c r="K4" s="149"/>
      <c r="L4" s="147"/>
      <c r="M4" s="158"/>
      <c r="N4" s="157"/>
      <c r="O4" s="142"/>
      <c r="P4" s="142"/>
      <c r="Q4" s="14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2.72</v>
      </c>
      <c r="E5" s="47">
        <v>2.5299999999999998</v>
      </c>
      <c r="F5" s="42">
        <v>0.77</v>
      </c>
      <c r="G5" s="42">
        <f t="shared" ref="G5:G20" si="0">(IF(D5&lt;1.5,1,0))+(IF(E5&lt;1,1,0))+(IF(F5&lt;0.8,1,0))</f>
        <v>1</v>
      </c>
      <c r="H5" s="53">
        <v>542810447.17999995</v>
      </c>
      <c r="I5" s="53">
        <v>170273632.47</v>
      </c>
      <c r="J5" s="47">
        <f t="shared" ref="J5:J20" si="1">IF(I5&lt;0,1,0)+IF(H5&lt;0,1,0)</f>
        <v>0</v>
      </c>
      <c r="K5" s="51">
        <f>SUM(I5/8)</f>
        <v>21284204.05875</v>
      </c>
      <c r="L5" s="45">
        <f>+H5/K5</f>
        <v>25.502971390506328</v>
      </c>
      <c r="M5" s="43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1</v>
      </c>
      <c r="O5" s="46">
        <f>'เม.ย.64'!N5</f>
        <v>0</v>
      </c>
      <c r="P5" s="72">
        <v>214812815.90000001</v>
      </c>
      <c r="Q5" s="64">
        <v>-71940457.170000002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1.07</v>
      </c>
      <c r="E6" s="47">
        <v>1.01</v>
      </c>
      <c r="F6" s="42">
        <v>0.62</v>
      </c>
      <c r="G6" s="55">
        <f t="shared" si="0"/>
        <v>2</v>
      </c>
      <c r="H6" s="53">
        <v>10567632.07</v>
      </c>
      <c r="I6" s="53">
        <v>29106998.550000001</v>
      </c>
      <c r="J6" s="63">
        <f>IF(I6&lt;0,1,0)+IF(H6&lt;0,1,0)</f>
        <v>0</v>
      </c>
      <c r="K6" s="51">
        <f t="shared" ref="K6:K20" si="3">SUM(I6/8)</f>
        <v>3638374.8187500001</v>
      </c>
      <c r="L6" s="45">
        <f>+H6/K6</f>
        <v>2.904492416652833</v>
      </c>
      <c r="M6" s="47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2</v>
      </c>
      <c r="O6" s="46">
        <f>'เม.ย.64'!N6</f>
        <v>3</v>
      </c>
      <c r="P6" s="72">
        <v>47586806.109999999</v>
      </c>
      <c r="Q6" s="64">
        <v>-56929382.799999997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1.57</v>
      </c>
      <c r="E7" s="47">
        <v>1.32</v>
      </c>
      <c r="F7" s="47">
        <v>1.02</v>
      </c>
      <c r="G7" s="47">
        <f t="shared" si="0"/>
        <v>0</v>
      </c>
      <c r="H7" s="53">
        <v>14202989.35</v>
      </c>
      <c r="I7" s="53">
        <v>7972128.21</v>
      </c>
      <c r="J7" s="47">
        <f t="shared" si="1"/>
        <v>0</v>
      </c>
      <c r="K7" s="51">
        <f t="shared" si="3"/>
        <v>996516.02625</v>
      </c>
      <c r="L7" s="45">
        <f t="shared" ref="L7:L20" si="5">+H7/K7</f>
        <v>14.252645191716002</v>
      </c>
      <c r="M7" s="43">
        <f t="shared" si="4"/>
        <v>0</v>
      </c>
      <c r="N7" s="46">
        <f t="shared" si="2"/>
        <v>0</v>
      </c>
      <c r="O7" s="46">
        <f>'เม.ย.64'!N7</f>
        <v>0</v>
      </c>
      <c r="P7" s="72">
        <v>8291578.2000000002</v>
      </c>
      <c r="Q7" s="53">
        <v>516025.65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2.99</v>
      </c>
      <c r="E8" s="47">
        <v>2.67</v>
      </c>
      <c r="F8" s="47">
        <v>2.06</v>
      </c>
      <c r="G8" s="63">
        <f t="shared" si="0"/>
        <v>0</v>
      </c>
      <c r="H8" s="53">
        <v>21190991.960000001</v>
      </c>
      <c r="I8" s="53">
        <v>7434383.5</v>
      </c>
      <c r="J8" s="63">
        <f t="shared" si="1"/>
        <v>0</v>
      </c>
      <c r="K8" s="51">
        <f t="shared" si="3"/>
        <v>929297.9375</v>
      </c>
      <c r="L8" s="45">
        <f t="shared" si="5"/>
        <v>22.803227151249327</v>
      </c>
      <c r="M8" s="43">
        <f t="shared" si="4"/>
        <v>0</v>
      </c>
      <c r="N8" s="46">
        <f t="shared" si="2"/>
        <v>0</v>
      </c>
      <c r="O8" s="46">
        <f>'เม.ย.64'!N8</f>
        <v>0</v>
      </c>
      <c r="P8" s="72">
        <v>11701454.84</v>
      </c>
      <c r="Q8" s="53">
        <v>11244439.859999999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2.15</v>
      </c>
      <c r="E9" s="47">
        <v>1.92</v>
      </c>
      <c r="F9" s="47">
        <v>1.67</v>
      </c>
      <c r="G9" s="47">
        <f t="shared" si="0"/>
        <v>0</v>
      </c>
      <c r="H9" s="53">
        <v>20606004.600000001</v>
      </c>
      <c r="I9" s="53">
        <v>5400166.1500000004</v>
      </c>
      <c r="J9" s="47">
        <f t="shared" si="1"/>
        <v>0</v>
      </c>
      <c r="K9" s="51">
        <f t="shared" si="3"/>
        <v>675020.76875000005</v>
      </c>
      <c r="L9" s="45">
        <f t="shared" si="5"/>
        <v>30.526474967811872</v>
      </c>
      <c r="M9" s="43">
        <f t="shared" si="4"/>
        <v>0</v>
      </c>
      <c r="N9" s="46">
        <f t="shared" si="2"/>
        <v>0</v>
      </c>
      <c r="O9" s="46">
        <f>'เม.ย.64'!N9</f>
        <v>0</v>
      </c>
      <c r="P9" s="72">
        <v>5885320.6299999999</v>
      </c>
      <c r="Q9" s="53">
        <v>11987398.960000001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>
        <v>1.38</v>
      </c>
      <c r="E10" s="47">
        <v>1.28</v>
      </c>
      <c r="F10" s="47">
        <v>1.1299999999999999</v>
      </c>
      <c r="G10" s="42">
        <f t="shared" si="0"/>
        <v>1</v>
      </c>
      <c r="H10" s="53">
        <v>7901368.0300000003</v>
      </c>
      <c r="I10" s="53">
        <v>3603360.56</v>
      </c>
      <c r="J10" s="47">
        <f t="shared" si="1"/>
        <v>0</v>
      </c>
      <c r="K10" s="51">
        <f t="shared" si="3"/>
        <v>450420.07</v>
      </c>
      <c r="L10" s="45">
        <f t="shared" si="5"/>
        <v>17.54222015462144</v>
      </c>
      <c r="M10" s="43">
        <f t="shared" si="4"/>
        <v>0</v>
      </c>
      <c r="N10" s="46">
        <f t="shared" si="2"/>
        <v>1</v>
      </c>
      <c r="O10" s="46">
        <f>'เม.ย.64'!N10</f>
        <v>1</v>
      </c>
      <c r="P10" s="72">
        <v>2728100.27</v>
      </c>
      <c r="Q10" s="53">
        <v>2732225.27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1.55</v>
      </c>
      <c r="E11" s="47">
        <v>1.37</v>
      </c>
      <c r="F11" s="47">
        <v>0.91</v>
      </c>
      <c r="G11" s="47">
        <f t="shared" si="0"/>
        <v>0</v>
      </c>
      <c r="H11" s="53">
        <v>33413901.460000001</v>
      </c>
      <c r="I11" s="53">
        <v>23759241.550000001</v>
      </c>
      <c r="J11" s="47">
        <f t="shared" si="1"/>
        <v>0</v>
      </c>
      <c r="K11" s="51">
        <f t="shared" si="3"/>
        <v>2969905.1937500001</v>
      </c>
      <c r="L11" s="45">
        <f t="shared" si="5"/>
        <v>11.250831013164223</v>
      </c>
      <c r="M11" s="43">
        <f t="shared" si="4"/>
        <v>0</v>
      </c>
      <c r="N11" s="46">
        <f t="shared" si="2"/>
        <v>0</v>
      </c>
      <c r="O11" s="46">
        <f>'เม.ย.64'!N11</f>
        <v>0</v>
      </c>
      <c r="P11" s="72">
        <v>30868058.02</v>
      </c>
      <c r="Q11" s="64">
        <v>-5981579.1699999999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>
        <v>1.47</v>
      </c>
      <c r="E12" s="56">
        <v>1.3</v>
      </c>
      <c r="F12" s="47">
        <v>0.94</v>
      </c>
      <c r="G12" s="42">
        <f t="shared" si="0"/>
        <v>1</v>
      </c>
      <c r="H12" s="53">
        <v>13666188.890000001</v>
      </c>
      <c r="I12" s="53">
        <v>7504075.54</v>
      </c>
      <c r="J12" s="47">
        <f t="shared" si="1"/>
        <v>0</v>
      </c>
      <c r="K12" s="51">
        <f t="shared" si="3"/>
        <v>938009.4425</v>
      </c>
      <c r="L12" s="45">
        <f t="shared" si="5"/>
        <v>14.56935108624986</v>
      </c>
      <c r="M12" s="43">
        <f t="shared" si="4"/>
        <v>0</v>
      </c>
      <c r="N12" s="46">
        <f t="shared" si="2"/>
        <v>1</v>
      </c>
      <c r="O12" s="46">
        <f>'เม.ย.64'!N12</f>
        <v>0</v>
      </c>
      <c r="P12" s="72">
        <v>7151136.5300000003</v>
      </c>
      <c r="Q12" s="64">
        <v>-1716494.19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1.66</v>
      </c>
      <c r="E13" s="47">
        <v>1.56</v>
      </c>
      <c r="F13" s="47">
        <v>1.36</v>
      </c>
      <c r="G13" s="47">
        <f t="shared" si="0"/>
        <v>0</v>
      </c>
      <c r="H13" s="53">
        <v>16672407.130000001</v>
      </c>
      <c r="I13" s="53">
        <v>7369917.8499999996</v>
      </c>
      <c r="J13" s="47">
        <f t="shared" si="1"/>
        <v>0</v>
      </c>
      <c r="K13" s="51">
        <f t="shared" si="3"/>
        <v>921239.73124999995</v>
      </c>
      <c r="L13" s="45">
        <f t="shared" si="5"/>
        <v>18.097794270529082</v>
      </c>
      <c r="M13" s="43">
        <f t="shared" si="4"/>
        <v>0</v>
      </c>
      <c r="N13" s="46">
        <f t="shared" si="2"/>
        <v>0</v>
      </c>
      <c r="O13" s="46">
        <f>'เม.ย.64'!N13</f>
        <v>0</v>
      </c>
      <c r="P13" s="72">
        <v>10033314.550000001</v>
      </c>
      <c r="Q13" s="53">
        <v>8933825.3699999992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2.98</v>
      </c>
      <c r="E14" s="47">
        <v>2.75</v>
      </c>
      <c r="F14" s="47">
        <v>1.73</v>
      </c>
      <c r="G14" s="47">
        <f t="shared" si="0"/>
        <v>0</v>
      </c>
      <c r="H14" s="53">
        <v>29675343.510000002</v>
      </c>
      <c r="I14" s="53">
        <v>18760451.91</v>
      </c>
      <c r="J14" s="47">
        <f t="shared" si="1"/>
        <v>0</v>
      </c>
      <c r="K14" s="51">
        <f t="shared" si="3"/>
        <v>2345056.48875</v>
      </c>
      <c r="L14" s="45">
        <f t="shared" si="5"/>
        <v>12.654425875181383</v>
      </c>
      <c r="M14" s="43">
        <f t="shared" si="4"/>
        <v>0</v>
      </c>
      <c r="N14" s="46">
        <f t="shared" si="2"/>
        <v>0</v>
      </c>
      <c r="O14" s="46">
        <f>'เม.ย.64'!N14</f>
        <v>0</v>
      </c>
      <c r="P14" s="72">
        <v>19636015.27</v>
      </c>
      <c r="Q14" s="53">
        <v>10905477.67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3.71</v>
      </c>
      <c r="E15" s="47">
        <v>3.34</v>
      </c>
      <c r="F15" s="47">
        <v>2.75</v>
      </c>
      <c r="G15" s="47">
        <f t="shared" si="0"/>
        <v>0</v>
      </c>
      <c r="H15" s="53">
        <v>31810578.460000001</v>
      </c>
      <c r="I15" s="53">
        <v>16966285.120000001</v>
      </c>
      <c r="J15" s="47">
        <f t="shared" si="1"/>
        <v>0</v>
      </c>
      <c r="K15" s="51">
        <f t="shared" si="3"/>
        <v>2120785.64</v>
      </c>
      <c r="L15" s="45">
        <f t="shared" si="5"/>
        <v>14.999431276797969</v>
      </c>
      <c r="M15" s="43">
        <f t="shared" si="4"/>
        <v>0</v>
      </c>
      <c r="N15" s="46">
        <f t="shared" si="2"/>
        <v>0</v>
      </c>
      <c r="O15" s="46">
        <f>'เม.ย.64'!N15</f>
        <v>0</v>
      </c>
      <c r="P15" s="72">
        <v>16047064.32</v>
      </c>
      <c r="Q15" s="53">
        <v>20299687.920000002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4.5199999999999996</v>
      </c>
      <c r="E16" s="47">
        <v>3.68</v>
      </c>
      <c r="F16" s="47">
        <v>3.14</v>
      </c>
      <c r="G16" s="47">
        <f t="shared" si="0"/>
        <v>0</v>
      </c>
      <c r="H16" s="53">
        <v>74218273.739999995</v>
      </c>
      <c r="I16" s="53">
        <v>40042686.990000002</v>
      </c>
      <c r="J16" s="47">
        <f t="shared" si="1"/>
        <v>0</v>
      </c>
      <c r="K16" s="51">
        <f t="shared" si="3"/>
        <v>5005335.8737500003</v>
      </c>
      <c r="L16" s="45">
        <f t="shared" si="5"/>
        <v>14.82783086130754</v>
      </c>
      <c r="M16" s="43">
        <f t="shared" si="4"/>
        <v>0</v>
      </c>
      <c r="N16" s="46">
        <f t="shared" si="2"/>
        <v>0</v>
      </c>
      <c r="O16" s="46">
        <f>'เม.ย.64'!N16</f>
        <v>0</v>
      </c>
      <c r="P16" s="72">
        <v>32574139.629999999</v>
      </c>
      <c r="Q16" s="53">
        <v>45193877.93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2.2599999999999998</v>
      </c>
      <c r="E17" s="47">
        <v>2.0299999999999998</v>
      </c>
      <c r="F17" s="47">
        <v>1.82</v>
      </c>
      <c r="G17" s="47">
        <f t="shared" si="0"/>
        <v>0</v>
      </c>
      <c r="H17" s="53">
        <v>8219143.9400000004</v>
      </c>
      <c r="I17" s="53">
        <v>2571021.04</v>
      </c>
      <c r="J17" s="47">
        <f t="shared" si="1"/>
        <v>0</v>
      </c>
      <c r="K17" s="51">
        <f t="shared" si="3"/>
        <v>321377.63</v>
      </c>
      <c r="L17" s="45">
        <f t="shared" si="5"/>
        <v>25.5747232313587</v>
      </c>
      <c r="M17" s="43">
        <f t="shared" si="4"/>
        <v>0</v>
      </c>
      <c r="N17" s="46">
        <f t="shared" si="2"/>
        <v>0</v>
      </c>
      <c r="O17" s="46">
        <f>'เม.ย.64'!N17</f>
        <v>0</v>
      </c>
      <c r="P17" s="72">
        <v>3597899.03</v>
      </c>
      <c r="Q17" s="53">
        <v>5348962.97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2.16</v>
      </c>
      <c r="E18" s="56">
        <v>2</v>
      </c>
      <c r="F18" s="47">
        <v>1.1299999999999999</v>
      </c>
      <c r="G18" s="47">
        <f t="shared" si="0"/>
        <v>0</v>
      </c>
      <c r="H18" s="53">
        <v>22385827.18</v>
      </c>
      <c r="I18" s="53">
        <v>14446868.75</v>
      </c>
      <c r="J18" s="47">
        <f t="shared" si="1"/>
        <v>0</v>
      </c>
      <c r="K18" s="51">
        <f t="shared" si="3"/>
        <v>1805858.59375</v>
      </c>
      <c r="L18" s="45">
        <f t="shared" si="5"/>
        <v>12.396223745024333</v>
      </c>
      <c r="M18" s="43">
        <f t="shared" si="4"/>
        <v>0</v>
      </c>
      <c r="N18" s="46">
        <f t="shared" si="2"/>
        <v>0</v>
      </c>
      <c r="O18" s="46">
        <f>'เม.ย.64'!N18</f>
        <v>0</v>
      </c>
      <c r="P18" s="72">
        <v>18353651.100000001</v>
      </c>
      <c r="Q18" s="53">
        <v>2520376.85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1.57</v>
      </c>
      <c r="E19" s="47">
        <v>1.32</v>
      </c>
      <c r="F19" s="42">
        <v>0.73</v>
      </c>
      <c r="G19" s="42">
        <f t="shared" si="0"/>
        <v>1</v>
      </c>
      <c r="H19" s="53">
        <v>6637547.5700000003</v>
      </c>
      <c r="I19" s="53">
        <v>4341176</v>
      </c>
      <c r="J19" s="47">
        <f t="shared" si="1"/>
        <v>0</v>
      </c>
      <c r="K19" s="51">
        <f t="shared" si="3"/>
        <v>542647</v>
      </c>
      <c r="L19" s="45">
        <f t="shared" si="5"/>
        <v>12.231796305885778</v>
      </c>
      <c r="M19" s="43">
        <f t="shared" si="4"/>
        <v>0</v>
      </c>
      <c r="N19" s="46">
        <f t="shared" si="2"/>
        <v>1</v>
      </c>
      <c r="O19" s="46">
        <f>'เม.ย.64'!N19</f>
        <v>2</v>
      </c>
      <c r="P19" s="72">
        <v>7298491.46</v>
      </c>
      <c r="Q19" s="64">
        <v>-3114704.49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2.2599999999999998</v>
      </c>
      <c r="E20" s="47">
        <v>2.08</v>
      </c>
      <c r="F20" s="47">
        <v>1.68</v>
      </c>
      <c r="G20" s="47">
        <f t="shared" si="0"/>
        <v>0</v>
      </c>
      <c r="H20" s="53">
        <v>8799427.4299999997</v>
      </c>
      <c r="I20" s="53">
        <v>1379427.45</v>
      </c>
      <c r="J20" s="47">
        <f t="shared" si="1"/>
        <v>0</v>
      </c>
      <c r="K20" s="51">
        <f t="shared" si="3"/>
        <v>172428.43124999999</v>
      </c>
      <c r="L20" s="45">
        <f t="shared" si="5"/>
        <v>51.032346384001563</v>
      </c>
      <c r="M20" s="43">
        <f t="shared" si="4"/>
        <v>0</v>
      </c>
      <c r="N20" s="46">
        <f t="shared" si="2"/>
        <v>0</v>
      </c>
      <c r="O20" s="46">
        <f>'เม.ย.64'!N20</f>
        <v>0</v>
      </c>
      <c r="P20" s="72">
        <v>3600041.3</v>
      </c>
      <c r="Q20" s="53">
        <v>4745056.55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5" t="s">
        <v>5</v>
      </c>
      <c r="M23" s="115"/>
      <c r="N23" s="11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5"/>
      <c r="M24" s="115"/>
      <c r="N24" s="11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5" t="s">
        <v>5</v>
      </c>
      <c r="M25" s="115"/>
      <c r="N25" s="11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5"/>
      <c r="M26" s="115"/>
      <c r="N26" s="11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6" t="s">
        <v>5</v>
      </c>
      <c r="L27" s="116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5" t="s">
        <v>5</v>
      </c>
      <c r="M30" s="115"/>
      <c r="N30" s="11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5"/>
      <c r="M31" s="115"/>
      <c r="N31" s="11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19" sqref="Q19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3" t="s">
        <v>81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65" t="s">
        <v>53</v>
      </c>
      <c r="P1" s="66">
        <v>242720</v>
      </c>
      <c r="Q1" s="41"/>
    </row>
    <row r="2" spans="1:25" ht="54.75" customHeight="1" thickBot="1" x14ac:dyDescent="0.3">
      <c r="C2" s="147" t="s">
        <v>41</v>
      </c>
      <c r="D2" s="154" t="s">
        <v>40</v>
      </c>
      <c r="E2" s="154"/>
      <c r="F2" s="154"/>
      <c r="G2" s="154"/>
      <c r="H2" s="155" t="s">
        <v>39</v>
      </c>
      <c r="I2" s="155"/>
      <c r="J2" s="155"/>
      <c r="K2" s="156" t="s">
        <v>38</v>
      </c>
      <c r="L2" s="156"/>
      <c r="M2" s="156"/>
      <c r="N2" s="157" t="s">
        <v>82</v>
      </c>
      <c r="O2" s="142" t="s">
        <v>83</v>
      </c>
      <c r="P2" s="142" t="s">
        <v>56</v>
      </c>
      <c r="Q2" s="143" t="s">
        <v>37</v>
      </c>
    </row>
    <row r="3" spans="1:25" ht="38.25" customHeight="1" thickBot="1" x14ac:dyDescent="0.3">
      <c r="C3" s="147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47" t="s">
        <v>32</v>
      </c>
      <c r="J3" s="148" t="s">
        <v>29</v>
      </c>
      <c r="K3" s="149" t="s">
        <v>31</v>
      </c>
      <c r="L3" s="147" t="s">
        <v>30</v>
      </c>
      <c r="M3" s="158" t="s">
        <v>29</v>
      </c>
      <c r="N3" s="157"/>
      <c r="O3" s="142"/>
      <c r="P3" s="142"/>
      <c r="Q3" s="143"/>
    </row>
    <row r="4" spans="1:25" ht="36.75" customHeight="1" thickBot="1" x14ac:dyDescent="0.3">
      <c r="C4" s="147"/>
      <c r="D4" s="144"/>
      <c r="E4" s="144"/>
      <c r="F4" s="144"/>
      <c r="G4" s="145"/>
      <c r="H4" s="146"/>
      <c r="I4" s="147"/>
      <c r="J4" s="148"/>
      <c r="K4" s="149"/>
      <c r="L4" s="147"/>
      <c r="M4" s="158"/>
      <c r="N4" s="157"/>
      <c r="O4" s="142"/>
      <c r="P4" s="142"/>
      <c r="Q4" s="14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95" t="s">
        <v>28</v>
      </c>
      <c r="D5" s="96">
        <v>2.72</v>
      </c>
      <c r="E5" s="96">
        <v>2.54</v>
      </c>
      <c r="F5" s="101">
        <v>0.71</v>
      </c>
      <c r="G5" s="101">
        <f t="shared" ref="G5:G20" si="0">(IF(D5&lt;1.5,1,0))+(IF(E5&lt;1,1,0))+(IF(F5&lt;0.8,1,0))</f>
        <v>1</v>
      </c>
      <c r="H5" s="106">
        <v>562349314.85000002</v>
      </c>
      <c r="I5" s="106">
        <v>191957281.31</v>
      </c>
      <c r="J5" s="96">
        <f t="shared" ref="J5:J20" si="1">IF(I5&lt;0,1,0)+IF(H5&lt;0,1,0)</f>
        <v>0</v>
      </c>
      <c r="K5" s="97">
        <f>SUM(I5/9)</f>
        <v>21328586.812222224</v>
      </c>
      <c r="L5" s="98">
        <f>+H5/K5</f>
        <v>26.365990386561805</v>
      </c>
      <c r="M5" s="96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99">
        <f t="shared" ref="N5:N20" si="2">SUM(G5+J5+M5)</f>
        <v>1</v>
      </c>
      <c r="O5" s="99">
        <f>'พ.ค.64'!N5</f>
        <v>1</v>
      </c>
      <c r="P5" s="105">
        <v>239636382.56999999</v>
      </c>
      <c r="Q5" s="104">
        <v>-94418579.180000007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95" t="s">
        <v>27</v>
      </c>
      <c r="D6" s="101">
        <v>1.0900000000000001</v>
      </c>
      <c r="E6" s="96">
        <v>1.03</v>
      </c>
      <c r="F6" s="101">
        <v>0.63</v>
      </c>
      <c r="G6" s="100">
        <f t="shared" si="0"/>
        <v>2</v>
      </c>
      <c r="H6" s="106">
        <v>14810863.83</v>
      </c>
      <c r="I6" s="106">
        <v>27873983.629999999</v>
      </c>
      <c r="J6" s="102">
        <f>IF(I6&lt;0,1,0)+IF(H6&lt;0,1,0)</f>
        <v>0</v>
      </c>
      <c r="K6" s="97">
        <f t="shared" ref="K6:K20" si="3">SUM(I6/9)</f>
        <v>3097109.2922222223</v>
      </c>
      <c r="L6" s="98">
        <f>+H6/K6</f>
        <v>4.7821573062321558</v>
      </c>
      <c r="M6" s="96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99">
        <f>SUM(G6+J6+M6)</f>
        <v>2</v>
      </c>
      <c r="O6" s="99">
        <f>'พ.ค.64'!N6</f>
        <v>2</v>
      </c>
      <c r="P6" s="105">
        <v>50292313.130000003</v>
      </c>
      <c r="Q6" s="104">
        <v>-57485143.210000001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95" t="s">
        <v>26</v>
      </c>
      <c r="D7" s="96">
        <v>1.51</v>
      </c>
      <c r="E7" s="96">
        <v>1.28</v>
      </c>
      <c r="F7" s="96">
        <v>0.95</v>
      </c>
      <c r="G7" s="96">
        <f t="shared" si="0"/>
        <v>0</v>
      </c>
      <c r="H7" s="106">
        <v>13029836.460000001</v>
      </c>
      <c r="I7" s="106">
        <v>6868378.3300000001</v>
      </c>
      <c r="J7" s="96">
        <f t="shared" si="1"/>
        <v>0</v>
      </c>
      <c r="K7" s="97">
        <f t="shared" si="3"/>
        <v>763153.14777777775</v>
      </c>
      <c r="L7" s="98">
        <f t="shared" ref="L7:L20" si="5">+H7/K7</f>
        <v>17.073685010592598</v>
      </c>
      <c r="M7" s="96">
        <f t="shared" si="4"/>
        <v>0</v>
      </c>
      <c r="N7" s="99">
        <f t="shared" si="2"/>
        <v>0</v>
      </c>
      <c r="O7" s="99">
        <f>'พ.ค.64'!N7</f>
        <v>0</v>
      </c>
      <c r="P7" s="105">
        <v>7457189.2800000003</v>
      </c>
      <c r="Q7" s="104">
        <v>-1396063.15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95" t="s">
        <v>25</v>
      </c>
      <c r="D8" s="96">
        <v>3.15</v>
      </c>
      <c r="E8" s="96">
        <v>2.81</v>
      </c>
      <c r="F8" s="96">
        <v>2.2200000000000002</v>
      </c>
      <c r="G8" s="102">
        <f t="shared" si="0"/>
        <v>0</v>
      </c>
      <c r="H8" s="106">
        <v>22622167.719999999</v>
      </c>
      <c r="I8" s="106">
        <v>7963123.9199999999</v>
      </c>
      <c r="J8" s="102">
        <f t="shared" si="1"/>
        <v>0</v>
      </c>
      <c r="K8" s="97">
        <f t="shared" si="3"/>
        <v>884791.54666666663</v>
      </c>
      <c r="L8" s="98">
        <f t="shared" si="5"/>
        <v>25.56779368567204</v>
      </c>
      <c r="M8" s="96">
        <f t="shared" si="4"/>
        <v>0</v>
      </c>
      <c r="N8" s="99">
        <f t="shared" si="2"/>
        <v>0</v>
      </c>
      <c r="O8" s="99">
        <f>'พ.ค.64'!N8</f>
        <v>0</v>
      </c>
      <c r="P8" s="105">
        <v>13097194.42</v>
      </c>
      <c r="Q8" s="106">
        <v>12785523.619999999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95" t="s">
        <v>24</v>
      </c>
      <c r="D9" s="96">
        <v>1.91</v>
      </c>
      <c r="E9" s="96">
        <v>1.69</v>
      </c>
      <c r="F9" s="96">
        <v>1.39</v>
      </c>
      <c r="G9" s="96">
        <f t="shared" si="0"/>
        <v>0</v>
      </c>
      <c r="H9" s="106">
        <v>18130621.66</v>
      </c>
      <c r="I9" s="106">
        <v>4856117.1399999997</v>
      </c>
      <c r="J9" s="96">
        <f t="shared" si="1"/>
        <v>0</v>
      </c>
      <c r="K9" s="97">
        <f t="shared" si="3"/>
        <v>539568.57111111109</v>
      </c>
      <c r="L9" s="98">
        <f t="shared" si="5"/>
        <v>33.602071415435418</v>
      </c>
      <c r="M9" s="96">
        <f t="shared" si="4"/>
        <v>0</v>
      </c>
      <c r="N9" s="99">
        <f t="shared" si="2"/>
        <v>0</v>
      </c>
      <c r="O9" s="99">
        <f>'พ.ค.64'!N9</f>
        <v>0</v>
      </c>
      <c r="P9" s="105">
        <v>5772415.9299999997</v>
      </c>
      <c r="Q9" s="106">
        <v>7714802.2699999996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103" t="s">
        <v>23</v>
      </c>
      <c r="D10" s="108">
        <v>1.3</v>
      </c>
      <c r="E10" s="96">
        <v>1.19</v>
      </c>
      <c r="F10" s="96">
        <v>1.06</v>
      </c>
      <c r="G10" s="101">
        <f t="shared" si="0"/>
        <v>1</v>
      </c>
      <c r="H10" s="106">
        <v>6244931.5599999996</v>
      </c>
      <c r="I10" s="106">
        <v>1712938.35</v>
      </c>
      <c r="J10" s="96">
        <f t="shared" si="1"/>
        <v>0</v>
      </c>
      <c r="K10" s="97">
        <f t="shared" si="3"/>
        <v>190326.48333333334</v>
      </c>
      <c r="L10" s="98">
        <f t="shared" si="5"/>
        <v>32.811679439601548</v>
      </c>
      <c r="M10" s="96">
        <f t="shared" si="4"/>
        <v>0</v>
      </c>
      <c r="N10" s="99">
        <f t="shared" si="2"/>
        <v>1</v>
      </c>
      <c r="O10" s="99">
        <f>'พ.ค.64'!N10</f>
        <v>1</v>
      </c>
      <c r="P10" s="105">
        <v>1062458.1599999999</v>
      </c>
      <c r="Q10" s="106">
        <v>1263381.3899999999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103" t="s">
        <v>22</v>
      </c>
      <c r="D11" s="107">
        <v>1.7</v>
      </c>
      <c r="E11" s="96">
        <v>1.53</v>
      </c>
      <c r="F11" s="96">
        <v>0.95</v>
      </c>
      <c r="G11" s="96">
        <f t="shared" si="0"/>
        <v>0</v>
      </c>
      <c r="H11" s="106">
        <v>43883785.039999999</v>
      </c>
      <c r="I11" s="106">
        <v>35579508.079999998</v>
      </c>
      <c r="J11" s="96">
        <f t="shared" si="1"/>
        <v>0</v>
      </c>
      <c r="K11" s="97">
        <f t="shared" si="3"/>
        <v>3953278.6755555551</v>
      </c>
      <c r="L11" s="98">
        <f t="shared" si="5"/>
        <v>11.100605001956509</v>
      </c>
      <c r="M11" s="96">
        <f t="shared" si="4"/>
        <v>0</v>
      </c>
      <c r="N11" s="99">
        <f t="shared" si="2"/>
        <v>0</v>
      </c>
      <c r="O11" s="99">
        <f>'พ.ค.64'!N11</f>
        <v>0</v>
      </c>
      <c r="P11" s="105">
        <v>43322800.090000004</v>
      </c>
      <c r="Q11" s="104">
        <v>-3758328.14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103" t="s">
        <v>21</v>
      </c>
      <c r="D12" s="101">
        <v>1.47</v>
      </c>
      <c r="E12" s="107">
        <v>1.3</v>
      </c>
      <c r="F12" s="107">
        <v>0.9</v>
      </c>
      <c r="G12" s="101">
        <f t="shared" si="0"/>
        <v>1</v>
      </c>
      <c r="H12" s="106">
        <v>13437446.970000001</v>
      </c>
      <c r="I12" s="106">
        <v>6697993.0099999998</v>
      </c>
      <c r="J12" s="96">
        <f t="shared" si="1"/>
        <v>0</v>
      </c>
      <c r="K12" s="97">
        <f t="shared" si="3"/>
        <v>744221.44555555552</v>
      </c>
      <c r="L12" s="98">
        <f t="shared" si="5"/>
        <v>18.055710501555154</v>
      </c>
      <c r="M12" s="96">
        <f t="shared" si="4"/>
        <v>0</v>
      </c>
      <c r="N12" s="99">
        <f t="shared" si="2"/>
        <v>1</v>
      </c>
      <c r="O12" s="99">
        <f>'พ.ค.64'!N12</f>
        <v>1</v>
      </c>
      <c r="P12" s="105">
        <v>6617265.0999999996</v>
      </c>
      <c r="Q12" s="104">
        <v>-2956890.08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103" t="s">
        <v>20</v>
      </c>
      <c r="D13" s="96">
        <v>1.67</v>
      </c>
      <c r="E13" s="96">
        <v>1.56</v>
      </c>
      <c r="F13" s="96">
        <v>1.31</v>
      </c>
      <c r="G13" s="96">
        <f t="shared" si="0"/>
        <v>0</v>
      </c>
      <c r="H13" s="106">
        <v>16188958.630000001</v>
      </c>
      <c r="I13" s="106">
        <v>6383588.4699999997</v>
      </c>
      <c r="J13" s="96">
        <f t="shared" si="1"/>
        <v>0</v>
      </c>
      <c r="K13" s="97">
        <f t="shared" si="3"/>
        <v>709287.60777777771</v>
      </c>
      <c r="L13" s="98">
        <f t="shared" si="5"/>
        <v>22.824251336803361</v>
      </c>
      <c r="M13" s="96">
        <f t="shared" si="4"/>
        <v>0</v>
      </c>
      <c r="N13" s="99">
        <f t="shared" si="2"/>
        <v>0</v>
      </c>
      <c r="O13" s="99">
        <f>'พ.ค.64'!N13</f>
        <v>0</v>
      </c>
      <c r="P13" s="105">
        <v>9610210.4600000009</v>
      </c>
      <c r="Q13" s="106">
        <v>7427091.1600000001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103" t="s">
        <v>19</v>
      </c>
      <c r="D14" s="96">
        <v>2.75</v>
      </c>
      <c r="E14" s="96">
        <v>2.5299999999999998</v>
      </c>
      <c r="F14" s="96">
        <v>1.61</v>
      </c>
      <c r="G14" s="96">
        <f t="shared" si="0"/>
        <v>0</v>
      </c>
      <c r="H14" s="106">
        <v>26901317.440000001</v>
      </c>
      <c r="I14" s="106">
        <v>16208845.720000001</v>
      </c>
      <c r="J14" s="96">
        <f t="shared" si="1"/>
        <v>0</v>
      </c>
      <c r="K14" s="97">
        <f t="shared" si="3"/>
        <v>1800982.8577777778</v>
      </c>
      <c r="L14" s="98">
        <f t="shared" si="5"/>
        <v>14.93702026303203</v>
      </c>
      <c r="M14" s="96">
        <f t="shared" si="4"/>
        <v>0</v>
      </c>
      <c r="N14" s="99">
        <f t="shared" si="2"/>
        <v>0</v>
      </c>
      <c r="O14" s="99">
        <f>'พ.ค.64'!N14</f>
        <v>0</v>
      </c>
      <c r="P14" s="105">
        <v>17429447.870000001</v>
      </c>
      <c r="Q14" s="106">
        <v>9372867.4900000002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103" t="s">
        <v>18</v>
      </c>
      <c r="D15" s="96">
        <v>3.49</v>
      </c>
      <c r="E15" s="96">
        <v>3.14</v>
      </c>
      <c r="F15" s="96">
        <v>2.5099999999999998</v>
      </c>
      <c r="G15" s="96">
        <f t="shared" si="0"/>
        <v>0</v>
      </c>
      <c r="H15" s="106">
        <v>30608994.5</v>
      </c>
      <c r="I15" s="106">
        <v>15097217.43</v>
      </c>
      <c r="J15" s="96">
        <f t="shared" si="1"/>
        <v>0</v>
      </c>
      <c r="K15" s="97">
        <f t="shared" si="3"/>
        <v>1677468.6033333333</v>
      </c>
      <c r="L15" s="98">
        <f t="shared" si="5"/>
        <v>18.247134068069126</v>
      </c>
      <c r="M15" s="96">
        <f t="shared" si="4"/>
        <v>0</v>
      </c>
      <c r="N15" s="99">
        <f t="shared" si="2"/>
        <v>0</v>
      </c>
      <c r="O15" s="99">
        <f>'พ.ค.64'!N15</f>
        <v>0</v>
      </c>
      <c r="P15" s="105">
        <v>14722780.76</v>
      </c>
      <c r="Q15" s="106">
        <v>18591683.890000001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103" t="s">
        <v>17</v>
      </c>
      <c r="D16" s="107">
        <v>4.7</v>
      </c>
      <c r="E16" s="96">
        <v>3.98</v>
      </c>
      <c r="F16" s="96">
        <v>3.27</v>
      </c>
      <c r="G16" s="96">
        <f t="shared" si="0"/>
        <v>0</v>
      </c>
      <c r="H16" s="106">
        <v>71551341.590000004</v>
      </c>
      <c r="I16" s="106">
        <v>50290181.020000003</v>
      </c>
      <c r="J16" s="96">
        <f t="shared" si="1"/>
        <v>0</v>
      </c>
      <c r="K16" s="97">
        <f t="shared" si="3"/>
        <v>5587797.8911111113</v>
      </c>
      <c r="L16" s="98">
        <f t="shared" si="5"/>
        <v>12.804926553235143</v>
      </c>
      <c r="M16" s="96">
        <f t="shared" si="4"/>
        <v>0</v>
      </c>
      <c r="N16" s="99">
        <f t="shared" si="2"/>
        <v>0</v>
      </c>
      <c r="O16" s="99">
        <f>'พ.ค.64'!N16</f>
        <v>0</v>
      </c>
      <c r="P16" s="105">
        <v>33930424.960000001</v>
      </c>
      <c r="Q16" s="106">
        <v>43968353.939999998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103" t="s">
        <v>16</v>
      </c>
      <c r="D17" s="96">
        <v>2.12</v>
      </c>
      <c r="E17" s="96">
        <v>1.91</v>
      </c>
      <c r="F17" s="96">
        <v>1.63</v>
      </c>
      <c r="G17" s="96">
        <f t="shared" si="0"/>
        <v>0</v>
      </c>
      <c r="H17" s="106">
        <v>7183567.5899999999</v>
      </c>
      <c r="I17" s="106">
        <v>1299639.57</v>
      </c>
      <c r="J17" s="96">
        <f t="shared" si="1"/>
        <v>0</v>
      </c>
      <c r="K17" s="97">
        <f t="shared" si="3"/>
        <v>144404.39666666667</v>
      </c>
      <c r="L17" s="98">
        <f t="shared" si="5"/>
        <v>49.746183328351563</v>
      </c>
      <c r="M17" s="96">
        <f t="shared" si="4"/>
        <v>0</v>
      </c>
      <c r="N17" s="99">
        <f t="shared" si="2"/>
        <v>0</v>
      </c>
      <c r="O17" s="99">
        <f>'พ.ค.64'!N17</f>
        <v>0</v>
      </c>
      <c r="P17" s="105">
        <v>2562322.6800000002</v>
      </c>
      <c r="Q17" s="106">
        <v>4014413.76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103" t="s">
        <v>15</v>
      </c>
      <c r="D18" s="96">
        <v>3.15</v>
      </c>
      <c r="E18" s="96">
        <v>2.98</v>
      </c>
      <c r="F18" s="96">
        <v>1.04</v>
      </c>
      <c r="G18" s="96">
        <f t="shared" si="0"/>
        <v>0</v>
      </c>
      <c r="H18" s="106">
        <v>43975806.439999998</v>
      </c>
      <c r="I18" s="106">
        <v>35057373.869999997</v>
      </c>
      <c r="J18" s="96">
        <f t="shared" si="1"/>
        <v>0</v>
      </c>
      <c r="K18" s="97">
        <f t="shared" si="3"/>
        <v>3895263.7633333332</v>
      </c>
      <c r="L18" s="98">
        <f t="shared" si="5"/>
        <v>11.289558066375495</v>
      </c>
      <c r="M18" s="96">
        <f t="shared" si="4"/>
        <v>0</v>
      </c>
      <c r="N18" s="99">
        <f t="shared" si="2"/>
        <v>0</v>
      </c>
      <c r="O18" s="99">
        <f>'พ.ค.64'!N18</f>
        <v>0</v>
      </c>
      <c r="P18" s="105">
        <v>40076919.439999998</v>
      </c>
      <c r="Q18" s="106">
        <v>747355.63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103" t="s">
        <v>14</v>
      </c>
      <c r="D19" s="101">
        <v>1.35</v>
      </c>
      <c r="E19" s="96">
        <v>1.06</v>
      </c>
      <c r="F19" s="101">
        <v>0.55000000000000004</v>
      </c>
      <c r="G19" s="101">
        <f t="shared" si="0"/>
        <v>2</v>
      </c>
      <c r="H19" s="106">
        <v>3519129.32</v>
      </c>
      <c r="I19" s="106">
        <v>590557.51</v>
      </c>
      <c r="J19" s="96">
        <f t="shared" si="1"/>
        <v>0</v>
      </c>
      <c r="K19" s="97">
        <f t="shared" si="3"/>
        <v>65617.501111111109</v>
      </c>
      <c r="L19" s="98">
        <f t="shared" si="5"/>
        <v>53.630956077419114</v>
      </c>
      <c r="M19" s="96">
        <f t="shared" si="4"/>
        <v>0</v>
      </c>
      <c r="N19" s="99">
        <f t="shared" si="2"/>
        <v>2</v>
      </c>
      <c r="O19" s="99">
        <f>'พ.ค.64'!N19</f>
        <v>1</v>
      </c>
      <c r="P19" s="105">
        <v>3917728.32</v>
      </c>
      <c r="Q19" s="104">
        <v>-4566126.8600000003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95" t="s">
        <v>13</v>
      </c>
      <c r="D20" s="96">
        <v>1.98</v>
      </c>
      <c r="E20" s="96">
        <v>1.81</v>
      </c>
      <c r="F20" s="96">
        <v>1.46</v>
      </c>
      <c r="G20" s="96">
        <f t="shared" si="0"/>
        <v>0</v>
      </c>
      <c r="H20" s="106">
        <v>7205980.54</v>
      </c>
      <c r="I20" s="106">
        <v>78819.740000000005</v>
      </c>
      <c r="J20" s="96">
        <f t="shared" si="1"/>
        <v>0</v>
      </c>
      <c r="K20" s="97">
        <f t="shared" si="3"/>
        <v>8757.7488888888893</v>
      </c>
      <c r="L20" s="98">
        <f t="shared" si="5"/>
        <v>822.8119613183195</v>
      </c>
      <c r="M20" s="96">
        <f t="shared" si="4"/>
        <v>0</v>
      </c>
      <c r="N20" s="99">
        <f t="shared" si="2"/>
        <v>0</v>
      </c>
      <c r="O20" s="99">
        <f>'พ.ค.64'!N20</f>
        <v>0</v>
      </c>
      <c r="P20" s="105">
        <v>2647606.59</v>
      </c>
      <c r="Q20" s="106">
        <v>3363334.19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5" t="s">
        <v>5</v>
      </c>
      <c r="M23" s="115"/>
      <c r="N23" s="11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5"/>
      <c r="M24" s="115"/>
      <c r="N24" s="11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5" t="s">
        <v>5</v>
      </c>
      <c r="M25" s="115"/>
      <c r="N25" s="11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5"/>
      <c r="M26" s="115"/>
      <c r="N26" s="11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6" t="s">
        <v>5</v>
      </c>
      <c r="L27" s="116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5" t="s">
        <v>5</v>
      </c>
      <c r="M30" s="115"/>
      <c r="N30" s="11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5"/>
      <c r="M31" s="115"/>
      <c r="N31" s="11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ต.ค.63</vt:lpstr>
      <vt:lpstr>พ.ย.63</vt:lpstr>
      <vt:lpstr>ธ.ค.63</vt:lpstr>
      <vt:lpstr>ม.ค.64</vt:lpstr>
      <vt:lpstr>ก.พ.64</vt:lpstr>
      <vt:lpstr>มี.ค.64</vt:lpstr>
      <vt:lpstr>เม.ย.64</vt:lpstr>
      <vt:lpstr>พ.ค.64</vt:lpstr>
      <vt:lpstr>มิ.ย.64</vt:lpstr>
      <vt:lpstr>ก.ค.64</vt:lpstr>
      <vt:lpstr>ส.ค.64</vt:lpstr>
      <vt:lpstr>ก.ย.64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2021-05-17T04:36:02Z</cp:lastPrinted>
  <dcterms:created xsi:type="dcterms:W3CDTF">2017-12-26T02:45:48Z</dcterms:created>
  <dcterms:modified xsi:type="dcterms:W3CDTF">2021-09-16T05:53:02Z</dcterms:modified>
</cp:coreProperties>
</file>